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50" windowHeight="15890" activeTab="0"/>
  </bookViews>
  <sheets>
    <sheet name="Sistemi di Produzione" sheetId="1" r:id="rId1"/>
  </sheets>
  <definedNames>
    <definedName name="_xlfn.SCAN" hidden="1">#NAME?</definedName>
    <definedName name="_xlfn.SINGLE" hidden="1">#NAME?</definedName>
    <definedName name="_xlnm.Print_Area" localSheetId="0">'Sistemi di Produzione'!$A$1:$AD$111</definedName>
  </definedNames>
  <calcPr fullCalcOnLoad="1"/>
</workbook>
</file>

<file path=xl/sharedStrings.xml><?xml version="1.0" encoding="utf-8"?>
<sst xmlns="http://schemas.openxmlformats.org/spreadsheetml/2006/main" count="128" uniqueCount="104">
  <si>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</si>
  <si>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</si>
  <si>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</si>
  <si>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</si>
  <si>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</si>
  <si>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</si>
  <si>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</si>
  <si>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</si>
  <si>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</si>
  <si>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</si>
  <si>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</si>
  <si>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</si>
  <si>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</si>
  <si>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</si>
  <si>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</si>
  <si>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</si>
  <si>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</si>
  <si>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</si>
  <si>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</si>
  <si>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</si>
  <si>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</si>
  <si>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</si>
  <si>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</si>
  <si>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</si>
  <si>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</si>
  <si>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</si>
  <si>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</si>
  <si>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</si>
  <si>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</si>
  <si>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</si>
  <si>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</si>
  <si>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</si>
  <si>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</si>
  <si>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</si>
  <si>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</si>
  <si>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</si>
  <si>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</si>
  <si>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</si>
  <si>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</si>
  <si>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</si>
  <si>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</si>
  <si>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</si>
  <si>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</si>
  <si>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</si>
  <si>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</si>
  <si>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</si>
  <si>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</si>
  <si>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</si>
  <si>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</si>
  <si>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</si>
  <si>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Gestione dell'Innovazione e dei Progetti</t>
  </si>
  <si>
    <t>Ottimizzazione nei Sistemi di Controllo 1</t>
  </si>
  <si>
    <t>Modelli per la Gestione di Sistemi Complessi</t>
  </si>
  <si>
    <t>Progettazione e Simulazione dei Sistemi di Produzione e di Servizio</t>
  </si>
  <si>
    <t>Tecnologie dei Sistemi Industriali</t>
  </si>
  <si>
    <t>Tecnologia dei Beni Strumentali</t>
  </si>
  <si>
    <t>Direzione d'Impresa</t>
  </si>
  <si>
    <t>Operations Management 1 + 2</t>
  </si>
  <si>
    <t>Robotica Industriale</t>
  </si>
  <si>
    <t>Gestione dei Consumi Energetici</t>
  </si>
  <si>
    <t>Production Management</t>
  </si>
  <si>
    <t>CFU acquisiti nell'anno</t>
  </si>
  <si>
    <t>Ottimizzazione Non Lineare</t>
  </si>
  <si>
    <t>A scelta (12 crediti - valgono un esame)</t>
  </si>
  <si>
    <t>Calcolo Automatico dei Sistemi Meccanici</t>
  </si>
  <si>
    <t>Interazioni tra le Macchine e l’Ambiente</t>
  </si>
  <si>
    <t>Tecnica delle Costruzioni Meccaniche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</si>
  <si>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</si>
  <si>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</si>
  <si>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</si>
  <si>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</si>
  <si>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</si>
  <si>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</si>
  <si>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</si>
  <si>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</si>
  <si>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</si>
  <si>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Materiali per la Produzione Industriale</t>
  </si>
  <si>
    <t>Prototipazione Virtuale</t>
  </si>
  <si>
    <t>Simulazione dei Sistemi Meccanici</t>
  </si>
  <si>
    <t>Corrosione e Protezione dei Materiali Metallici</t>
  </si>
  <si>
    <t>Affidabilità e Sicurezza delle Macchine</t>
  </si>
  <si>
    <t>Costruzione di Macchine</t>
  </si>
  <si>
    <t xml:space="preserve">  In Corso</t>
  </si>
  <si>
    <t>Fuori Corso</t>
  </si>
  <si>
    <t>Analisi dei Sistemi Finanziari 1 + 2</t>
  </si>
  <si>
    <t>Sistemi Integrati di Produzione</t>
  </si>
  <si>
    <t>Tecnologie di Produzione per l'Industria 4.0</t>
  </si>
  <si>
    <t>Costruzioni dei Veicoli Terrestri</t>
  </si>
  <si>
    <t>Control of Electrical Machines</t>
  </si>
  <si>
    <t>Processi e Sistemi di Lavorazione**</t>
  </si>
  <si>
    <t>Tecnologie di Produzione per l'Industria 4.0***</t>
  </si>
  <si>
    <t xml:space="preserve">  *** Solo se si proviene dall'indirizzo "Ing. Produzione" alla triennale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</si>
  <si>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proviene dall'indirizzo "Ing. Produzione" alla triennale</t>
    </r>
  </si>
  <si>
    <t>Life Cycle Assessment del Fotovoltaico</t>
  </si>
  <si>
    <t>Sustainability Management and Innovation</t>
  </si>
  <si>
    <t>Tecniche Avanzate per la Progettazione Assistita dal Calcolatore</t>
  </si>
  <si>
    <t>Gestione della Qualità**</t>
  </si>
  <si>
    <t>Gestione delle Macchine</t>
  </si>
  <si>
    <t xml:space="preserve">  ** Solo se non sostenuto nel CdL triennale</t>
  </si>
  <si>
    <t>Machine Learning</t>
  </si>
  <si>
    <t>Materiali Sostenibili e Biotecnologici per l'Ingegneria</t>
  </si>
  <si>
    <t>INDIRIZZO: Sistemi di Produzione A.A.2023/2024</t>
  </si>
  <si>
    <t>Energetica Ambientale e Confinamento della CO2</t>
  </si>
  <si>
    <t>Fabbriche Intelligenti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</si>
</sst>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6" fillId="0" borderId="41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3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14" fillId="33" borderId="46" xfId="0" applyFont="1" applyFill="1" applyBorder="1" applyAlignment="1" applyProtection="1">
      <alignment vertical="center" textRotation="90"/>
      <protection/>
    </xf>
    <xf numFmtId="0" fontId="0" fillId="33" borderId="47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1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4" fillId="3" borderId="46" xfId="0" applyFont="1" applyFill="1" applyBorder="1" applyAlignment="1" applyProtection="1">
      <alignment vertical="center" textRotation="90"/>
      <protection/>
    </xf>
    <xf numFmtId="0" fontId="14" fillId="3" borderId="47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/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49" fontId="9" fillId="4" borderId="33" xfId="0" applyNumberFormat="1" applyFont="1" applyFill="1" applyBorder="1" applyAlignment="1" applyProtection="1">
      <alignment horizontal="left"/>
      <protection locked="0"/>
    </xf>
    <xf numFmtId="0" fontId="2" fillId="34" borderId="46" xfId="0" applyFont="1" applyFill="1" applyBorder="1" applyAlignment="1" applyProtection="1">
      <alignment vertical="center" textRotation="90"/>
      <protection/>
    </xf>
    <xf numFmtId="0" fontId="2" fillId="0" borderId="4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6" xfId="0" applyFont="1" applyFill="1" applyBorder="1" applyAlignment="1" applyProtection="1">
      <alignment vertical="center" textRotation="90"/>
      <protection/>
    </xf>
    <xf numFmtId="0" fontId="14" fillId="4" borderId="47" xfId="0" applyFont="1" applyFill="1" applyBorder="1" applyAlignment="1" applyProtection="1">
      <alignment vertical="center" textRotation="90"/>
      <protection/>
    </xf>
    <xf numFmtId="0" fontId="0" fillId="0" borderId="47" xfId="0" applyBorder="1" applyAlignment="1" applyProtection="1">
      <alignment vertical="center" textRotation="90"/>
      <protection/>
    </xf>
    <xf numFmtId="0" fontId="0" fillId="0" borderId="4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6" xfId="0" applyFont="1" applyFill="1" applyBorder="1" applyAlignment="1" applyProtection="1">
      <alignment vertical="center" textRotation="90"/>
      <protection/>
    </xf>
    <xf numFmtId="0" fontId="14" fillId="35" borderId="47" xfId="0" applyFont="1" applyFill="1" applyBorder="1" applyAlignment="1" applyProtection="1">
      <alignment vertical="center" textRotation="90"/>
      <protection/>
    </xf>
    <xf numFmtId="0" fontId="0" fillId="35" borderId="47" xfId="0" applyFill="1" applyBorder="1" applyAlignment="1" applyProtection="1">
      <alignment textRotation="90"/>
      <protection/>
    </xf>
    <xf numFmtId="0" fontId="0" fillId="35" borderId="47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8" xfId="0" applyFont="1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wrapText="1"/>
      <protection/>
    </xf>
    <xf numFmtId="0" fontId="0" fillId="0" borderId="47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13</xdr:row>
      <xdr:rowOff>9525</xdr:rowOff>
    </xdr:from>
    <xdr:to>
      <xdr:col>3</xdr:col>
      <xdr:colOff>9525</xdr:colOff>
      <xdr:row>17</xdr:row>
      <xdr:rowOff>0</xdr:rowOff>
    </xdr:to>
    <xdr:sp>
      <xdr:nvSpPr>
        <xdr:cNvPr id="4" name="Rectangle 366"/>
        <xdr:cNvSpPr>
          <a:spLocks/>
        </xdr:cNvSpPr>
      </xdr:nvSpPr>
      <xdr:spPr>
        <a:xfrm>
          <a:off x="1162050" y="3124200"/>
          <a:ext cx="438150" cy="904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17</xdr:row>
      <xdr:rowOff>9525</xdr:rowOff>
    </xdr:from>
    <xdr:to>
      <xdr:col>3</xdr:col>
      <xdr:colOff>9525</xdr:colOff>
      <xdr:row>20</xdr:row>
      <xdr:rowOff>0</xdr:rowOff>
    </xdr:to>
    <xdr:sp>
      <xdr:nvSpPr>
        <xdr:cNvPr id="5" name="Rectangle 366"/>
        <xdr:cNvSpPr>
          <a:spLocks/>
        </xdr:cNvSpPr>
      </xdr:nvSpPr>
      <xdr:spPr>
        <a:xfrm>
          <a:off x="1162050" y="4038600"/>
          <a:ext cx="43815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54"/>
  <sheetViews>
    <sheetView tabSelected="1" view="pageBreakPreview" zoomScaleSheetLayoutView="100" zoomScalePageLayoutView="0" workbookViewId="0" topLeftCell="A21">
      <selection activeCell="M48" sqref="M48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20" t="s">
        <v>16</v>
      </c>
      <c r="B2" s="1" t="s">
        <v>5</v>
      </c>
      <c r="C2" s="293" t="s">
        <v>25</v>
      </c>
      <c r="D2" s="294"/>
      <c r="E2" s="295"/>
      <c r="F2" s="2"/>
      <c r="G2" s="349" t="s">
        <v>6</v>
      </c>
      <c r="H2" s="349"/>
      <c r="I2" s="293" t="s">
        <v>26</v>
      </c>
      <c r="J2" s="353"/>
      <c r="K2" s="353"/>
      <c r="L2" s="353"/>
      <c r="M2" s="354"/>
      <c r="N2" s="72"/>
      <c r="O2" s="222" t="s">
        <v>67</v>
      </c>
      <c r="P2" s="223"/>
      <c r="R2" s="73"/>
      <c r="S2" s="74" t="s">
        <v>42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321"/>
      <c r="B3" s="6" t="s">
        <v>9</v>
      </c>
      <c r="C3" s="314" t="s">
        <v>27</v>
      </c>
      <c r="D3" s="300"/>
      <c r="E3" s="301"/>
      <c r="F3" s="7"/>
      <c r="G3" s="7" t="s">
        <v>7</v>
      </c>
      <c r="H3" s="7"/>
      <c r="I3" s="317" t="s">
        <v>29</v>
      </c>
      <c r="J3" s="318"/>
      <c r="K3" s="319"/>
      <c r="M3" s="8"/>
      <c r="O3" s="224" t="s">
        <v>68</v>
      </c>
      <c r="P3" s="225"/>
      <c r="Q3" s="85"/>
      <c r="R3" s="86"/>
    </row>
    <row r="4" spans="1:18" ht="21" customHeight="1">
      <c r="A4" s="321"/>
      <c r="B4" s="6" t="s">
        <v>31</v>
      </c>
      <c r="C4" s="80"/>
      <c r="D4" s="314" t="s">
        <v>28</v>
      </c>
      <c r="E4" s="301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321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84" t="s">
        <v>82</v>
      </c>
      <c r="P5" s="285" t="s">
        <v>83</v>
      </c>
      <c r="Q5" s="85"/>
      <c r="R5" s="86"/>
    </row>
    <row r="6" spans="1:29" ht="23.25" customHeight="1">
      <c r="A6" s="321"/>
      <c r="B6" s="6" t="s">
        <v>71</v>
      </c>
      <c r="C6" s="62"/>
      <c r="D6" s="62"/>
      <c r="E6" s="314" t="s">
        <v>69</v>
      </c>
      <c r="F6" s="352"/>
      <c r="G6" s="242"/>
      <c r="H6" s="34" t="s">
        <v>70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86" t="b">
        <f>IF(S6=2,TRUE,IF(Q6&lt;2,FALSE,TRUE))</f>
        <v>1</v>
      </c>
      <c r="S6" s="181">
        <v>2</v>
      </c>
      <c r="T6" s="181"/>
      <c r="U6" s="181"/>
      <c r="V6" s="181"/>
      <c r="W6" s="181"/>
      <c r="X6" s="350" t="str">
        <f>IF(S6=2,"IN CORSO",IF(Q6&lt;2,"ERRORE FUORI CORSO","FUORI CORSO"))</f>
        <v>IN CORSO</v>
      </c>
      <c r="Y6" s="351"/>
      <c r="Z6" s="351"/>
      <c r="AA6" s="351"/>
      <c r="AB6" s="351"/>
      <c r="AC6" s="351"/>
    </row>
    <row r="7" spans="1:26" ht="8.25" customHeight="1" thickBot="1">
      <c r="A7" s="322"/>
      <c r="B7" s="10"/>
      <c r="C7" s="333"/>
      <c r="D7" s="334"/>
      <c r="E7" s="334"/>
      <c r="F7" s="334"/>
      <c r="G7" s="334"/>
      <c r="H7" s="335"/>
      <c r="I7" s="62"/>
      <c r="J7" s="62"/>
      <c r="K7" s="82"/>
      <c r="L7" s="221"/>
      <c r="M7" s="62"/>
      <c r="N7" s="336"/>
      <c r="O7" s="336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44" t="s">
        <v>20</v>
      </c>
      <c r="R8" s="345"/>
      <c r="S8" s="345"/>
      <c r="T8" s="345"/>
      <c r="U8" s="345"/>
      <c r="V8" s="345"/>
      <c r="W8" s="345"/>
      <c r="X8" s="345"/>
      <c r="Y8" s="92">
        <f>IF(S6=1,18,18)</f>
        <v>18</v>
      </c>
      <c r="Z8" s="67"/>
    </row>
    <row r="9" spans="2:18" ht="25.5" customHeight="1" thickBot="1">
      <c r="B9" s="163" t="s">
        <v>45</v>
      </c>
      <c r="C9" s="95"/>
      <c r="D9" s="95"/>
      <c r="E9" s="95"/>
      <c r="H9" s="244" t="s">
        <v>72</v>
      </c>
      <c r="I9" s="11"/>
      <c r="J9" s="11"/>
      <c r="K9" s="13"/>
      <c r="L9" s="337" t="s">
        <v>69</v>
      </c>
      <c r="M9" s="338"/>
      <c r="N9" s="339"/>
      <c r="O9" s="243"/>
      <c r="P9" s="231"/>
      <c r="R9" s="94"/>
    </row>
    <row r="10" ht="25.5" customHeight="1" thickBot="1">
      <c r="B10" s="189" t="s">
        <v>101</v>
      </c>
    </row>
    <row r="11" spans="2:16" ht="15.75" customHeight="1" thickBot="1">
      <c r="B11" s="96" t="s">
        <v>23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41</v>
      </c>
      <c r="I12" s="98" t="s">
        <v>74</v>
      </c>
      <c r="K12" s="98" t="s">
        <v>1</v>
      </c>
      <c r="L12" s="100" t="s">
        <v>8</v>
      </c>
      <c r="M12" s="100" t="s">
        <v>22</v>
      </c>
      <c r="N12" s="101"/>
      <c r="O12" s="38" t="s">
        <v>10</v>
      </c>
      <c r="P12" s="39" t="s">
        <v>11</v>
      </c>
      <c r="Q12" s="66"/>
      <c r="R12" s="67"/>
      <c r="S12" s="37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18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323"/>
      <c r="B14" s="258" t="s">
        <v>79</v>
      </c>
      <c r="C14" s="112"/>
      <c r="D14" s="116"/>
      <c r="E14" s="256"/>
      <c r="F14" s="257"/>
      <c r="G14" s="249"/>
      <c r="H14" s="249"/>
      <c r="I14" s="249"/>
      <c r="J14" s="246"/>
      <c r="K14" s="41"/>
      <c r="L14" s="254"/>
      <c r="M14" s="58"/>
      <c r="N14" s="47"/>
      <c r="O14" s="20"/>
      <c r="P14" s="22"/>
      <c r="Q14" s="190"/>
      <c r="R14" s="155"/>
      <c r="S14" s="56"/>
      <c r="T14" s="202"/>
      <c r="U14" s="202"/>
      <c r="V14" s="202"/>
      <c r="W14" s="202"/>
      <c r="X14" s="202"/>
      <c r="Y14" s="56"/>
      <c r="Z14" s="203"/>
      <c r="AA14" s="194"/>
      <c r="AB14" s="203"/>
      <c r="AC14" s="156"/>
      <c r="AD14" s="109"/>
    </row>
    <row r="15" spans="1:30" ht="24" customHeight="1">
      <c r="A15" s="324"/>
      <c r="B15" s="259" t="s">
        <v>76</v>
      </c>
      <c r="C15" s="115"/>
      <c r="D15" s="340" t="str">
        <f ca="1">INDIRECT("B"&amp;13+$G$15)</f>
        <v>Corrosione e Protezione dei Materiali Metallici</v>
      </c>
      <c r="E15" s="341"/>
      <c r="F15" s="107"/>
      <c r="G15" s="261">
        <v>1</v>
      </c>
      <c r="H15" s="233"/>
      <c r="I15" s="234"/>
      <c r="J15" s="4">
        <v>2</v>
      </c>
      <c r="K15" s="40">
        <v>6</v>
      </c>
      <c r="L15" s="235"/>
      <c r="M15" s="56">
        <v>1</v>
      </c>
      <c r="N15" s="47"/>
      <c r="O15" s="20">
        <f>IF(L15=1,K15,0)</f>
        <v>0</v>
      </c>
      <c r="P15" s="22">
        <f>IF(L15=2,K15,0)</f>
        <v>0</v>
      </c>
      <c r="Q15" s="190" t="str">
        <f>IF(OR(X15,W15,V15),"ANNO ?",IF(S15&lt;&gt;"","ANTICIPO",""))</f>
        <v>ANNO ?</v>
      </c>
      <c r="R15" s="155"/>
      <c r="S15" s="56">
        <f>IF(AND(V15=FALSE,X15=FALSE,M15-L15=1,J15=2),K15,"")</f>
      </c>
      <c r="T15" s="202"/>
      <c r="U15" s="202"/>
      <c r="V15" s="202" t="b">
        <f>IF(AND(J15=2,L15&lt;$L$6),TRUE,FALSE)</f>
        <v>1</v>
      </c>
      <c r="W15" s="202" t="b">
        <f>IF(AND(J15=1,L15&gt;$L$6-$S$6+1),TRUE,FALSE)</f>
        <v>0</v>
      </c>
      <c r="X15" s="202" t="b">
        <f>IF(AND(L15&lt;3,L15&gt;0),FALSE,TRUE)</f>
        <v>1</v>
      </c>
      <c r="Y15" s="56">
        <f>IF(Q15="ANTICIPO",1,"")</f>
      </c>
      <c r="Z15" s="203" t="b">
        <f>AND(J15=1,X15=FALSE,L15&lt;$L$6,L15&lt;M15)</f>
        <v>0</v>
      </c>
      <c r="AA15" s="194">
        <f aca="true" t="shared" si="0" ref="AA15:AA29">IF(Z15,1,"")</f>
      </c>
      <c r="AB15" s="203" t="b">
        <f>AND(X15=FALSE,L15&lt;M15-1)</f>
        <v>0</v>
      </c>
      <c r="AC15" s="156">
        <f aca="true" t="shared" si="1" ref="AC15:AC29">IF(AB15,"NON CONSENTITO","")</f>
      </c>
      <c r="AD15" s="109">
        <f>IF(AND(J15=1,X15=FALSE,L15=$L$6,$S$6=1),K15,"")</f>
      </c>
    </row>
    <row r="16" spans="1:30" ht="12" customHeight="1">
      <c r="A16" s="324"/>
      <c r="B16" s="259" t="s">
        <v>77</v>
      </c>
      <c r="C16" s="115"/>
      <c r="D16" s="112"/>
      <c r="E16" s="255"/>
      <c r="F16" s="287"/>
      <c r="G16" s="248"/>
      <c r="H16" s="248"/>
      <c r="I16" s="248"/>
      <c r="J16" s="246"/>
      <c r="K16" s="41"/>
      <c r="L16" s="253"/>
      <c r="M16" s="251"/>
      <c r="N16" s="47"/>
      <c r="O16" s="20"/>
      <c r="P16" s="22"/>
      <c r="Q16" s="190"/>
      <c r="R16" s="155"/>
      <c r="S16" s="56"/>
      <c r="T16" s="202"/>
      <c r="U16" s="202"/>
      <c r="V16" s="202"/>
      <c r="W16" s="202"/>
      <c r="X16" s="202"/>
      <c r="Y16" s="56"/>
      <c r="Z16" s="203"/>
      <c r="AA16" s="194"/>
      <c r="AB16" s="203"/>
      <c r="AC16" s="156"/>
      <c r="AD16" s="109"/>
    </row>
    <row r="17" spans="1:30" ht="12" customHeight="1">
      <c r="A17" s="324"/>
      <c r="B17" s="260" t="s">
        <v>78</v>
      </c>
      <c r="C17" s="116"/>
      <c r="D17" s="115"/>
      <c r="E17" s="288"/>
      <c r="F17" s="289"/>
      <c r="G17" s="290"/>
      <c r="H17" s="290"/>
      <c r="I17" s="290"/>
      <c r="J17" s="247"/>
      <c r="K17" s="252"/>
      <c r="L17" s="252"/>
      <c r="M17" s="251"/>
      <c r="N17" s="47"/>
      <c r="O17" s="20"/>
      <c r="P17" s="22"/>
      <c r="Q17" s="190"/>
      <c r="R17" s="155"/>
      <c r="S17" s="56"/>
      <c r="T17" s="202"/>
      <c r="U17" s="202"/>
      <c r="V17" s="202"/>
      <c r="W17" s="202"/>
      <c r="X17" s="202"/>
      <c r="Y17" s="56"/>
      <c r="Z17" s="203"/>
      <c r="AA17" s="194"/>
      <c r="AB17" s="203"/>
      <c r="AC17" s="156"/>
      <c r="AD17" s="109"/>
    </row>
    <row r="18" spans="1:30" ht="13.5" customHeight="1">
      <c r="A18" s="324"/>
      <c r="B18" s="258" t="s">
        <v>89</v>
      </c>
      <c r="C18" s="112">
        <v>1</v>
      </c>
      <c r="D18" s="116"/>
      <c r="E18" s="256"/>
      <c r="F18" s="257"/>
      <c r="G18" s="249"/>
      <c r="H18" s="249"/>
      <c r="I18" s="249"/>
      <c r="J18" s="246"/>
      <c r="K18" s="41"/>
      <c r="L18" s="254"/>
      <c r="M18" s="58"/>
      <c r="N18" s="47"/>
      <c r="O18" s="20"/>
      <c r="P18" s="22"/>
      <c r="Q18" s="190"/>
      <c r="R18" s="155"/>
      <c r="S18" s="56"/>
      <c r="T18" s="202"/>
      <c r="U18" s="202"/>
      <c r="V18" s="202"/>
      <c r="W18" s="202"/>
      <c r="X18" s="202"/>
      <c r="Y18" s="56"/>
      <c r="Z18" s="203"/>
      <c r="AA18" s="194"/>
      <c r="AB18" s="203"/>
      <c r="AC18" s="156"/>
      <c r="AD18" s="109"/>
    </row>
    <row r="19" spans="1:30" ht="24" customHeight="1">
      <c r="A19" s="324"/>
      <c r="B19" s="259" t="s">
        <v>90</v>
      </c>
      <c r="C19" s="115">
        <v>2</v>
      </c>
      <c r="D19" s="340" t="str">
        <f ca="1">INDIRECT("B"&amp;17+$G$19)</f>
        <v>Processi e Sistemi di Lavorazione**</v>
      </c>
      <c r="E19" s="341"/>
      <c r="F19" s="107"/>
      <c r="G19" s="261">
        <v>1</v>
      </c>
      <c r="H19" s="233"/>
      <c r="I19" s="234"/>
      <c r="J19" s="4">
        <v>2</v>
      </c>
      <c r="K19" s="40">
        <v>6</v>
      </c>
      <c r="L19" s="235"/>
      <c r="M19" s="56">
        <f ca="1">INDIRECT("C"&amp;17+$G$19)</f>
        <v>1</v>
      </c>
      <c r="N19" s="47"/>
      <c r="O19" s="20">
        <f>IF(L19=1,K19,0)</f>
        <v>0</v>
      </c>
      <c r="P19" s="22">
        <f>IF(L19=2,K19,0)</f>
        <v>0</v>
      </c>
      <c r="Q19" s="190" t="str">
        <f>IF(OR(X19,W19,V19),"ANNO ?",IF(S19&lt;&gt;"","ANTICIPO",""))</f>
        <v>ANNO ?</v>
      </c>
      <c r="R19" s="155"/>
      <c r="S19" s="56">
        <f>IF(AND(V19=FALSE,X19=FALSE,M19-L19=1,J19=2),K19,"")</f>
      </c>
      <c r="T19" s="202"/>
      <c r="U19" s="202"/>
      <c r="V19" s="202" t="b">
        <f>IF(AND(J19=2,L19&lt;$L$6),TRUE,FALSE)</f>
        <v>1</v>
      </c>
      <c r="W19" s="202" t="b">
        <f>IF(AND(J19=1,L19&gt;$L$6-$S$6+1),TRUE,FALSE)</f>
        <v>0</v>
      </c>
      <c r="X19" s="202" t="b">
        <f>IF(AND(L19&lt;3,L19&gt;0),FALSE,TRUE)</f>
        <v>1</v>
      </c>
      <c r="Y19" s="56">
        <f>IF(Q19="ANTICIPO",1,"")</f>
      </c>
      <c r="Z19" s="203" t="b">
        <f>AND(J19=1,X19=FALSE,L19&lt;$L$6,L19&lt;M19)</f>
        <v>0</v>
      </c>
      <c r="AA19" s="194">
        <f>IF(Z19,1,"")</f>
      </c>
      <c r="AB19" s="203" t="b">
        <f>AND(X19=FALSE,L19&lt;M19-1)</f>
        <v>0</v>
      </c>
      <c r="AC19" s="156">
        <f>IF(AB19,"NON CONSENTITO","")</f>
      </c>
      <c r="AD19" s="109">
        <f>IF(AND(J19=1,X19=FALSE,L19=$L$6,$S$6=1),K19,"")</f>
      </c>
    </row>
    <row r="20" spans="1:30" ht="12" customHeight="1">
      <c r="A20" s="324"/>
      <c r="B20" s="259"/>
      <c r="C20" s="115"/>
      <c r="D20" s="112"/>
      <c r="E20" s="255"/>
      <c r="F20" s="245"/>
      <c r="G20" s="248"/>
      <c r="H20" s="248"/>
      <c r="I20" s="250"/>
      <c r="J20" s="246"/>
      <c r="K20" s="41"/>
      <c r="L20" s="253"/>
      <c r="M20" s="251"/>
      <c r="N20" s="47"/>
      <c r="O20" s="20"/>
      <c r="P20" s="22"/>
      <c r="Q20" s="190"/>
      <c r="R20" s="155"/>
      <c r="S20" s="56"/>
      <c r="T20" s="202"/>
      <c r="U20" s="202"/>
      <c r="V20" s="202"/>
      <c r="W20" s="202"/>
      <c r="X20" s="202"/>
      <c r="Y20" s="56"/>
      <c r="Z20" s="203"/>
      <c r="AA20" s="194"/>
      <c r="AB20" s="203"/>
      <c r="AC20" s="156"/>
      <c r="AD20" s="109"/>
    </row>
    <row r="21" spans="1:30" ht="24" customHeight="1">
      <c r="A21" s="325"/>
      <c r="B21" s="55" t="s">
        <v>53</v>
      </c>
      <c r="C21" s="106"/>
      <c r="D21" s="106"/>
      <c r="E21" s="106"/>
      <c r="F21" s="107"/>
      <c r="G21" s="232"/>
      <c r="H21" s="233"/>
      <c r="I21" s="234"/>
      <c r="J21" s="4">
        <v>2</v>
      </c>
      <c r="K21" s="40">
        <v>9</v>
      </c>
      <c r="L21" s="235"/>
      <c r="M21" s="56">
        <v>1</v>
      </c>
      <c r="N21" s="47"/>
      <c r="O21" s="20">
        <f aca="true" t="shared" si="2" ref="O21:O29">IF(L21=1,K21,0)</f>
        <v>0</v>
      </c>
      <c r="P21" s="22">
        <f aca="true" t="shared" si="3" ref="P21:P29">IF(L21=2,K21,0)</f>
        <v>0</v>
      </c>
      <c r="Q21" s="190" t="str">
        <f aca="true" t="shared" si="4" ref="Q21:Q29">IF(OR(X21,W21,V21),"ANNO ?",IF(S21&lt;&gt;"","ANTICIPO",""))</f>
        <v>ANNO ?</v>
      </c>
      <c r="R21" s="155"/>
      <c r="S21" s="56">
        <f aca="true" t="shared" si="5" ref="S21:S29">IF(AND(V21=FALSE,X21=FALSE,M21-L21=1,J21=2),K21,"")</f>
      </c>
      <c r="T21" s="202"/>
      <c r="U21" s="202"/>
      <c r="V21" s="202" t="b">
        <f aca="true" t="shared" si="6" ref="V21:V29">IF(AND(J21=2,L21&lt;$L$6),TRUE,FALSE)</f>
        <v>1</v>
      </c>
      <c r="W21" s="202" t="b">
        <f aca="true" t="shared" si="7" ref="W21:W29">IF(AND(J21=1,L21&gt;$L$6-$S$6+1),TRUE,FALSE)</f>
        <v>0</v>
      </c>
      <c r="X21" s="202" t="b">
        <f aca="true" t="shared" si="8" ref="X21:X29">IF(AND(L21&lt;3,L21&gt;0),FALSE,TRUE)</f>
        <v>1</v>
      </c>
      <c r="Y21" s="56">
        <f aca="true" t="shared" si="9" ref="Y21:Y29">IF(Q21="ANTICIPO",1,"")</f>
      </c>
      <c r="Z21" s="203" t="b">
        <f aca="true" t="shared" si="10" ref="Z21:Z29">AND(J21=1,X21=FALSE,L21&lt;$L$6,L21&lt;M21)</f>
        <v>0</v>
      </c>
      <c r="AA21" s="194">
        <f t="shared" si="0"/>
      </c>
      <c r="AB21" s="203" t="b">
        <f aca="true" t="shared" si="11" ref="AB21:AB29">AND(X21=FALSE,L21&lt;M21-1)</f>
        <v>0</v>
      </c>
      <c r="AC21" s="156">
        <f t="shared" si="1"/>
      </c>
      <c r="AD21" s="109">
        <f aca="true" t="shared" si="12" ref="AD21:AD29">IF(AND(J21=1,X21=FALSE,L21=$L$6,$S$6=1),K21,"")</f>
      </c>
    </row>
    <row r="22" spans="1:30" ht="24" customHeight="1">
      <c r="A22" s="325"/>
      <c r="B22" s="186" t="s">
        <v>52</v>
      </c>
      <c r="C22" s="106"/>
      <c r="D22" s="106"/>
      <c r="E22" s="106"/>
      <c r="F22" s="107"/>
      <c r="G22" s="232"/>
      <c r="H22" s="233"/>
      <c r="I22" s="234"/>
      <c r="J22" s="4">
        <v>2</v>
      </c>
      <c r="K22" s="40">
        <v>12</v>
      </c>
      <c r="L22" s="235"/>
      <c r="M22" s="56">
        <v>1</v>
      </c>
      <c r="N22" s="47"/>
      <c r="O22" s="20">
        <f t="shared" si="2"/>
        <v>0</v>
      </c>
      <c r="P22" s="22">
        <f t="shared" si="3"/>
        <v>0</v>
      </c>
      <c r="Q22" s="190" t="str">
        <f t="shared" si="4"/>
        <v>ANNO ?</v>
      </c>
      <c r="R22" s="155"/>
      <c r="S22" s="56">
        <f t="shared" si="5"/>
      </c>
      <c r="T22" s="202"/>
      <c r="U22" s="202"/>
      <c r="V22" s="202" t="b">
        <f t="shared" si="6"/>
        <v>1</v>
      </c>
      <c r="W22" s="202" t="b">
        <f t="shared" si="7"/>
        <v>0</v>
      </c>
      <c r="X22" s="202" t="b">
        <f t="shared" si="8"/>
        <v>1</v>
      </c>
      <c r="Y22" s="56">
        <f t="shared" si="9"/>
      </c>
      <c r="Z22" s="203" t="b">
        <f t="shared" si="10"/>
        <v>0</v>
      </c>
      <c r="AA22" s="194">
        <f t="shared" si="0"/>
      </c>
      <c r="AB22" s="203" t="b">
        <f t="shared" si="11"/>
        <v>0</v>
      </c>
      <c r="AC22" s="156">
        <f t="shared" si="1"/>
      </c>
      <c r="AD22" s="109">
        <f t="shared" si="12"/>
      </c>
    </row>
    <row r="23" spans="1:30" ht="24" customHeight="1">
      <c r="A23" s="325"/>
      <c r="B23" s="186" t="s">
        <v>57</v>
      </c>
      <c r="C23" s="106"/>
      <c r="D23" s="106"/>
      <c r="E23" s="106"/>
      <c r="F23" s="107"/>
      <c r="G23" s="232"/>
      <c r="H23" s="233"/>
      <c r="I23" s="234"/>
      <c r="J23" s="4">
        <v>2</v>
      </c>
      <c r="K23" s="40">
        <v>12</v>
      </c>
      <c r="L23" s="235"/>
      <c r="M23" s="56">
        <v>1</v>
      </c>
      <c r="N23" s="47"/>
      <c r="O23" s="20">
        <f>IF(L23=1,K23,0)</f>
        <v>0</v>
      </c>
      <c r="P23" s="22">
        <f>IF(L23=2,K23,0)</f>
        <v>0</v>
      </c>
      <c r="Q23" s="190" t="str">
        <f>IF(OR(X23,W23,V23),"ANNO ?",IF(S23&lt;&gt;"","ANTICIPO",""))</f>
        <v>ANNO ?</v>
      </c>
      <c r="R23" s="155"/>
      <c r="S23" s="56">
        <f>IF(AND(V23=FALSE,X23=FALSE,M23-L23=1,J23=2),K23,"")</f>
      </c>
      <c r="T23" s="202"/>
      <c r="U23" s="202"/>
      <c r="V23" s="202" t="b">
        <f>IF(AND(J23=2,L23&lt;$L$6),TRUE,FALSE)</f>
        <v>1</v>
      </c>
      <c r="W23" s="202" t="b">
        <f>IF(AND(J23=1,L23&gt;$L$6-$S$6+1),TRUE,FALSE)</f>
        <v>0</v>
      </c>
      <c r="X23" s="202" t="b">
        <f>IF(AND(L23&lt;3,L23&gt;0),FALSE,TRUE)</f>
        <v>1</v>
      </c>
      <c r="Y23" s="56">
        <f>IF(Q23="ANTICIPO",1,"")</f>
      </c>
      <c r="Z23" s="203" t="b">
        <f t="shared" si="10"/>
        <v>0</v>
      </c>
      <c r="AA23" s="194">
        <f t="shared" si="0"/>
      </c>
      <c r="AB23" s="203" t="b">
        <f>AND(X23=FALSE,L23&lt;M23-1)</f>
        <v>0</v>
      </c>
      <c r="AC23" s="156">
        <f t="shared" si="1"/>
      </c>
      <c r="AD23" s="109">
        <f>IF(AND(J23=1,X23=FALSE,L23=$L$6,$S$6=1),K23,"")</f>
      </c>
    </row>
    <row r="24" spans="1:30" ht="24" customHeight="1">
      <c r="A24" s="325"/>
      <c r="B24" s="186" t="s">
        <v>51</v>
      </c>
      <c r="C24" s="106"/>
      <c r="D24" s="106"/>
      <c r="E24" s="106"/>
      <c r="F24" s="107"/>
      <c r="G24" s="232"/>
      <c r="H24" s="233"/>
      <c r="I24" s="234"/>
      <c r="J24" s="4">
        <v>2</v>
      </c>
      <c r="K24" s="40">
        <v>6</v>
      </c>
      <c r="L24" s="235"/>
      <c r="M24" s="56">
        <v>1</v>
      </c>
      <c r="N24" s="47"/>
      <c r="O24" s="20">
        <f t="shared" si="2"/>
        <v>0</v>
      </c>
      <c r="P24" s="22">
        <f t="shared" si="3"/>
        <v>0</v>
      </c>
      <c r="Q24" s="190" t="str">
        <f t="shared" si="4"/>
        <v>ANNO ?</v>
      </c>
      <c r="R24" s="155"/>
      <c r="S24" s="56">
        <f t="shared" si="5"/>
      </c>
      <c r="T24" s="202"/>
      <c r="U24" s="202"/>
      <c r="V24" s="202" t="b">
        <f t="shared" si="6"/>
        <v>1</v>
      </c>
      <c r="W24" s="202" t="b">
        <f t="shared" si="7"/>
        <v>0</v>
      </c>
      <c r="X24" s="202" t="b">
        <f t="shared" si="8"/>
        <v>1</v>
      </c>
      <c r="Y24" s="56">
        <f t="shared" si="9"/>
      </c>
      <c r="Z24" s="203" t="b">
        <f t="shared" si="10"/>
        <v>0</v>
      </c>
      <c r="AA24" s="194">
        <f t="shared" si="0"/>
      </c>
      <c r="AB24" s="203" t="b">
        <f t="shared" si="11"/>
        <v>0</v>
      </c>
      <c r="AC24" s="156">
        <f t="shared" si="1"/>
      </c>
      <c r="AD24" s="109">
        <f t="shared" si="12"/>
      </c>
    </row>
    <row r="25" spans="1:30" ht="24" customHeight="1">
      <c r="A25" s="325"/>
      <c r="B25" s="48" t="s">
        <v>56</v>
      </c>
      <c r="C25" s="106"/>
      <c r="D25" s="106"/>
      <c r="E25" s="106"/>
      <c r="F25" s="107"/>
      <c r="G25" s="232"/>
      <c r="H25" s="233"/>
      <c r="I25" s="234"/>
      <c r="J25" s="4">
        <v>2</v>
      </c>
      <c r="K25" s="40">
        <v>6</v>
      </c>
      <c r="L25" s="235"/>
      <c r="M25" s="56">
        <v>2</v>
      </c>
      <c r="N25" s="47"/>
      <c r="O25" s="20">
        <f t="shared" si="2"/>
        <v>0</v>
      </c>
      <c r="P25" s="22">
        <f t="shared" si="3"/>
        <v>0</v>
      </c>
      <c r="Q25" s="190" t="str">
        <f t="shared" si="4"/>
        <v>ANNO ?</v>
      </c>
      <c r="R25" s="155"/>
      <c r="S25" s="56">
        <f t="shared" si="5"/>
      </c>
      <c r="T25" s="202"/>
      <c r="U25" s="202"/>
      <c r="V25" s="202" t="b">
        <f t="shared" si="6"/>
        <v>1</v>
      </c>
      <c r="W25" s="202" t="b">
        <f t="shared" si="7"/>
        <v>0</v>
      </c>
      <c r="X25" s="202" t="b">
        <f t="shared" si="8"/>
        <v>1</v>
      </c>
      <c r="Y25" s="56">
        <f t="shared" si="9"/>
      </c>
      <c r="Z25" s="203" t="b">
        <f t="shared" si="10"/>
        <v>0</v>
      </c>
      <c r="AA25" s="194">
        <f t="shared" si="0"/>
      </c>
      <c r="AB25" s="203" t="b">
        <f t="shared" si="11"/>
        <v>0</v>
      </c>
      <c r="AC25" s="156">
        <f t="shared" si="1"/>
      </c>
      <c r="AD25" s="109">
        <f t="shared" si="12"/>
      </c>
    </row>
    <row r="26" spans="1:30" ht="24" customHeight="1">
      <c r="A26" s="325"/>
      <c r="B26" s="48" t="s">
        <v>59</v>
      </c>
      <c r="C26" s="106"/>
      <c r="D26" s="106"/>
      <c r="E26" s="106"/>
      <c r="F26" s="107"/>
      <c r="G26" s="232"/>
      <c r="H26" s="233"/>
      <c r="I26" s="234"/>
      <c r="J26" s="4">
        <v>2</v>
      </c>
      <c r="K26" s="40">
        <v>6</v>
      </c>
      <c r="L26" s="235"/>
      <c r="M26" s="56">
        <v>2</v>
      </c>
      <c r="N26" s="47"/>
      <c r="O26" s="20">
        <f t="shared" si="2"/>
        <v>0</v>
      </c>
      <c r="P26" s="22">
        <f t="shared" si="3"/>
        <v>0</v>
      </c>
      <c r="Q26" s="190" t="str">
        <f t="shared" si="4"/>
        <v>ANNO ?</v>
      </c>
      <c r="R26" s="155"/>
      <c r="S26" s="56">
        <f t="shared" si="5"/>
      </c>
      <c r="T26" s="202"/>
      <c r="U26" s="202"/>
      <c r="V26" s="202" t="b">
        <f t="shared" si="6"/>
        <v>1</v>
      </c>
      <c r="W26" s="202" t="b">
        <f t="shared" si="7"/>
        <v>0</v>
      </c>
      <c r="X26" s="202" t="b">
        <f t="shared" si="8"/>
        <v>1</v>
      </c>
      <c r="Y26" s="56">
        <f t="shared" si="9"/>
      </c>
      <c r="Z26" s="203" t="b">
        <f t="shared" si="10"/>
        <v>0</v>
      </c>
      <c r="AA26" s="194">
        <f t="shared" si="0"/>
      </c>
      <c r="AB26" s="203" t="b">
        <f t="shared" si="11"/>
        <v>0</v>
      </c>
      <c r="AC26" s="156">
        <f t="shared" si="1"/>
      </c>
      <c r="AD26" s="109">
        <f t="shared" si="12"/>
      </c>
    </row>
    <row r="27" spans="1:30" ht="24" customHeight="1">
      <c r="A27" s="325"/>
      <c r="B27" s="48" t="s">
        <v>54</v>
      </c>
      <c r="C27" s="106"/>
      <c r="D27" s="106"/>
      <c r="E27" s="106"/>
      <c r="F27" s="107"/>
      <c r="G27" s="232"/>
      <c r="H27" s="233"/>
      <c r="I27" s="234"/>
      <c r="J27" s="4">
        <v>2</v>
      </c>
      <c r="K27" s="40">
        <v>12</v>
      </c>
      <c r="L27" s="235"/>
      <c r="M27" s="56">
        <v>2</v>
      </c>
      <c r="N27" s="47"/>
      <c r="O27" s="20">
        <f t="shared" si="2"/>
        <v>0</v>
      </c>
      <c r="P27" s="22">
        <f t="shared" si="3"/>
        <v>0</v>
      </c>
      <c r="Q27" s="190" t="str">
        <f t="shared" si="4"/>
        <v>ANNO ?</v>
      </c>
      <c r="R27" s="155"/>
      <c r="S27" s="56">
        <f t="shared" si="5"/>
      </c>
      <c r="T27" s="202"/>
      <c r="U27" s="202"/>
      <c r="V27" s="202" t="b">
        <f t="shared" si="6"/>
        <v>1</v>
      </c>
      <c r="W27" s="202" t="b">
        <f t="shared" si="7"/>
        <v>0</v>
      </c>
      <c r="X27" s="202" t="b">
        <f t="shared" si="8"/>
        <v>1</v>
      </c>
      <c r="Y27" s="56">
        <f t="shared" si="9"/>
      </c>
      <c r="Z27" s="203" t="b">
        <f t="shared" si="10"/>
        <v>0</v>
      </c>
      <c r="AA27" s="194">
        <f t="shared" si="0"/>
      </c>
      <c r="AB27" s="203" t="b">
        <f t="shared" si="11"/>
        <v>0</v>
      </c>
      <c r="AC27" s="156">
        <f t="shared" si="1"/>
      </c>
      <c r="AD27" s="109">
        <f t="shared" si="12"/>
      </c>
    </row>
    <row r="28" spans="1:30" ht="24" customHeight="1">
      <c r="A28" s="325"/>
      <c r="B28" s="48" t="s">
        <v>84</v>
      </c>
      <c r="C28" s="106"/>
      <c r="D28" s="106"/>
      <c r="E28" s="106"/>
      <c r="F28" s="107"/>
      <c r="G28" s="232"/>
      <c r="H28" s="233"/>
      <c r="I28" s="234"/>
      <c r="J28" s="4">
        <v>2</v>
      </c>
      <c r="K28" s="40">
        <v>12</v>
      </c>
      <c r="L28" s="235"/>
      <c r="M28" s="56">
        <v>2</v>
      </c>
      <c r="N28" s="47"/>
      <c r="O28" s="20">
        <f t="shared" si="2"/>
        <v>0</v>
      </c>
      <c r="P28" s="22">
        <f t="shared" si="3"/>
        <v>0</v>
      </c>
      <c r="Q28" s="190" t="str">
        <f t="shared" si="4"/>
        <v>ANNO ?</v>
      </c>
      <c r="R28" s="155"/>
      <c r="S28" s="56">
        <f t="shared" si="5"/>
      </c>
      <c r="T28" s="202"/>
      <c r="U28" s="202"/>
      <c r="V28" s="202" t="b">
        <f t="shared" si="6"/>
        <v>1</v>
      </c>
      <c r="W28" s="202" t="b">
        <f t="shared" si="7"/>
        <v>0</v>
      </c>
      <c r="X28" s="202" t="b">
        <f t="shared" si="8"/>
        <v>1</v>
      </c>
      <c r="Y28" s="56">
        <f t="shared" si="9"/>
      </c>
      <c r="Z28" s="203" t="b">
        <f t="shared" si="10"/>
        <v>0</v>
      </c>
      <c r="AA28" s="194">
        <f t="shared" si="0"/>
      </c>
      <c r="AB28" s="203" t="b">
        <f t="shared" si="11"/>
        <v>0</v>
      </c>
      <c r="AC28" s="156">
        <f t="shared" si="1"/>
      </c>
      <c r="AD28" s="109">
        <f t="shared" si="12"/>
      </c>
    </row>
    <row r="29" spans="1:30" ht="24" customHeight="1">
      <c r="A29" s="325"/>
      <c r="B29" s="48" t="s">
        <v>55</v>
      </c>
      <c r="C29" s="106"/>
      <c r="D29" s="106"/>
      <c r="E29" s="106"/>
      <c r="F29" s="107"/>
      <c r="G29" s="232"/>
      <c r="H29" s="233"/>
      <c r="I29" s="234"/>
      <c r="J29" s="4">
        <v>2</v>
      </c>
      <c r="K29" s="40">
        <v>6</v>
      </c>
      <c r="L29" s="235"/>
      <c r="M29" s="56">
        <v>2</v>
      </c>
      <c r="N29" s="47"/>
      <c r="O29" s="20">
        <f t="shared" si="2"/>
        <v>0</v>
      </c>
      <c r="P29" s="22">
        <f t="shared" si="3"/>
        <v>0</v>
      </c>
      <c r="Q29" s="190" t="str">
        <f t="shared" si="4"/>
        <v>ANNO ?</v>
      </c>
      <c r="R29" s="155"/>
      <c r="S29" s="56">
        <f t="shared" si="5"/>
      </c>
      <c r="T29" s="202"/>
      <c r="U29" s="202"/>
      <c r="V29" s="202" t="b">
        <f t="shared" si="6"/>
        <v>1</v>
      </c>
      <c r="W29" s="202" t="b">
        <f t="shared" si="7"/>
        <v>0</v>
      </c>
      <c r="X29" s="202" t="b">
        <f t="shared" si="8"/>
        <v>1</v>
      </c>
      <c r="Y29" s="56">
        <f t="shared" si="9"/>
      </c>
      <c r="Z29" s="203" t="b">
        <f t="shared" si="10"/>
        <v>0</v>
      </c>
      <c r="AA29" s="194">
        <f t="shared" si="0"/>
      </c>
      <c r="AB29" s="203" t="b">
        <f t="shared" si="11"/>
        <v>0</v>
      </c>
      <c r="AC29" s="156">
        <f t="shared" si="1"/>
      </c>
      <c r="AD29" s="109">
        <f t="shared" si="12"/>
      </c>
    </row>
    <row r="30" spans="1:30" ht="1.5" customHeight="1">
      <c r="A30" s="326"/>
      <c r="B30" s="49"/>
      <c r="C30" s="112"/>
      <c r="D30" s="112"/>
      <c r="E30" s="112"/>
      <c r="F30" s="113"/>
      <c r="G30" s="164"/>
      <c r="H30" s="113"/>
      <c r="I30" s="165"/>
      <c r="J30" s="4">
        <v>2</v>
      </c>
      <c r="K30" s="40"/>
      <c r="L30" s="14"/>
      <c r="M30" s="114"/>
      <c r="N30" s="47"/>
      <c r="O30" s="20"/>
      <c r="P30" s="22"/>
      <c r="Q30" s="190"/>
      <c r="R30" s="155"/>
      <c r="S30" s="56">
        <f>IF(AND(X30&lt;&gt;"?",M30-L30=1,J30=2),K30,"")</f>
      </c>
      <c r="T30" s="202"/>
      <c r="U30" s="202"/>
      <c r="V30" s="202"/>
      <c r="W30" s="202"/>
      <c r="X30" s="202"/>
      <c r="Y30" s="56">
        <f>IF(Q30="ANTICIPO",1,"")</f>
      </c>
      <c r="Z30" s="203" t="b">
        <f>AND(J30=1,X30&lt;&gt;"?",L30&lt;M30)</f>
        <v>0</v>
      </c>
      <c r="AA30" s="194">
        <f>IF(Z30,1,"")</f>
      </c>
      <c r="AB30" s="204"/>
      <c r="AC30" s="156">
        <f>IF(AND(X30&lt;&gt;"?",M30-L30&gt;1),"NON CONSENTITO","")</f>
      </c>
      <c r="AD30" s="109">
        <f>IF(AND(L30&lt;=$L$6,J30=1),K30,"")</f>
      </c>
    </row>
    <row r="31" spans="1:30" ht="1.5" customHeight="1">
      <c r="A31" s="326"/>
      <c r="B31" s="50"/>
      <c r="C31" s="115"/>
      <c r="D31" s="115"/>
      <c r="E31" s="115"/>
      <c r="F31" s="12"/>
      <c r="G31" s="166">
        <v>2</v>
      </c>
      <c r="H31" s="12"/>
      <c r="I31" s="167"/>
      <c r="J31" s="4">
        <v>2</v>
      </c>
      <c r="K31" s="40"/>
      <c r="L31" s="14"/>
      <c r="M31" s="114"/>
      <c r="N31" s="47"/>
      <c r="O31" s="20"/>
      <c r="P31" s="22"/>
      <c r="Q31" s="190"/>
      <c r="R31" s="155"/>
      <c r="S31" s="56">
        <f>IF(AND(X31&lt;&gt;"?",M31-L31=1,J31=2),K31,"")</f>
      </c>
      <c r="T31" s="202"/>
      <c r="U31" s="202"/>
      <c r="V31" s="202"/>
      <c r="W31" s="202"/>
      <c r="X31" s="202"/>
      <c r="Y31" s="56">
        <f>IF(Q31="ANTICIPO",1,"")</f>
      </c>
      <c r="Z31" s="203" t="b">
        <f>AND(J31=1,X31&lt;&gt;"?",L31&lt;M31)</f>
        <v>0</v>
      </c>
      <c r="AA31" s="194">
        <f>IF(Z31,1,"")</f>
      </c>
      <c r="AB31" s="204"/>
      <c r="AC31" s="156">
        <f>IF(AND(X31&lt;&gt;"?",M31-L31&gt;1),"NON CONSENTITO","")</f>
      </c>
      <c r="AD31" s="109">
        <f>IF(AND(L31&lt;=$L$6,J31=1),K31,"")</f>
      </c>
    </row>
    <row r="32" spans="1:30" ht="1.5" customHeight="1">
      <c r="A32" s="326"/>
      <c r="B32" s="51"/>
      <c r="C32" s="116"/>
      <c r="D32" s="116"/>
      <c r="E32" s="116"/>
      <c r="F32" s="117"/>
      <c r="G32" s="168"/>
      <c r="H32" s="117"/>
      <c r="I32" s="169"/>
      <c r="J32" s="4">
        <v>2</v>
      </c>
      <c r="K32" s="40"/>
      <c r="L32" s="14"/>
      <c r="M32" s="114"/>
      <c r="N32" s="47"/>
      <c r="O32" s="20"/>
      <c r="P32" s="22"/>
      <c r="Q32" s="190"/>
      <c r="R32" s="155"/>
      <c r="S32" s="56">
        <f>IF(AND(X32&lt;&gt;"?",M32-L32=1,J32=2),K32,"")</f>
      </c>
      <c r="T32" s="202"/>
      <c r="U32" s="202"/>
      <c r="V32" s="202"/>
      <c r="W32" s="202"/>
      <c r="X32" s="202"/>
      <c r="Y32" s="56">
        <f>IF(Q32="ANTICIPO",1,"")</f>
      </c>
      <c r="Z32" s="203" t="b">
        <f>AND(J32=1,X32&lt;&gt;"?",L32&lt;M32)</f>
        <v>0</v>
      </c>
      <c r="AA32" s="194">
        <f>IF(Z32,1,"")</f>
      </c>
      <c r="AB32" s="204"/>
      <c r="AC32" s="156">
        <f>IF(AND(X32&lt;&gt;"?",M32-L32&gt;1),"NON CONSENTITO","")</f>
      </c>
      <c r="AD32" s="109">
        <f>IF(AND(L32&lt;=$L$6,J32=1),K32,"")</f>
      </c>
    </row>
    <row r="33" spans="1:30" ht="24" customHeight="1">
      <c r="A33" s="326"/>
      <c r="B33" s="48" t="s">
        <v>19</v>
      </c>
      <c r="C33" s="106"/>
      <c r="D33" s="106"/>
      <c r="E33" s="106"/>
      <c r="F33" s="107"/>
      <c r="G33" s="232"/>
      <c r="H33" s="233"/>
      <c r="I33" s="234"/>
      <c r="J33" s="4">
        <v>2</v>
      </c>
      <c r="K33" s="40">
        <v>3</v>
      </c>
      <c r="L33" s="235"/>
      <c r="M33" s="56"/>
      <c r="N33" s="176"/>
      <c r="O33" s="21">
        <f>IF(L33=1,K33,0)</f>
        <v>0</v>
      </c>
      <c r="P33" s="22">
        <f>IF(L33=2,K33,0)</f>
        <v>0</v>
      </c>
      <c r="Q33" s="190" t="str">
        <f>IF(OR(X33,W33,V33),"ANNO ?","")</f>
        <v>ANNO ?</v>
      </c>
      <c r="R33" s="155"/>
      <c r="S33" s="56"/>
      <c r="T33" s="202"/>
      <c r="U33" s="202"/>
      <c r="V33" s="202" t="b">
        <f>IF(AND(J33=2,L33&lt;$L$6),TRUE,FALSE)</f>
        <v>1</v>
      </c>
      <c r="W33" s="202" t="b">
        <f>IF(AND(J33=1,L33&gt;$L$6-$S$6+1),TRUE,FALSE)</f>
        <v>0</v>
      </c>
      <c r="X33" s="202" t="b">
        <f>IF(AND(L33&lt;3,L33&gt;0),FALSE,TRUE)</f>
        <v>1</v>
      </c>
      <c r="Y33" s="56"/>
      <c r="Z33" s="203" t="b">
        <f>AND(J33=1,X33=FALSE,L33&lt;$L$6,L33&lt;M33)</f>
        <v>0</v>
      </c>
      <c r="AA33" s="194">
        <f>IF(Z33,1,"")</f>
      </c>
      <c r="AB33" s="203"/>
      <c r="AC33" s="156"/>
      <c r="AD33" s="109">
        <f>IF(AND(J33=1,X33=FALSE,L33=$L$6,$S$6=1),K33,"")</f>
      </c>
    </row>
    <row r="34" spans="1:30" ht="19.5" customHeight="1" thickBot="1">
      <c r="A34" s="327"/>
      <c r="B34" s="51" t="s">
        <v>0</v>
      </c>
      <c r="C34" s="116"/>
      <c r="D34" s="116"/>
      <c r="E34" s="118"/>
      <c r="F34" s="117"/>
      <c r="G34" s="62"/>
      <c r="H34" s="62"/>
      <c r="I34" s="62"/>
      <c r="J34" s="170"/>
      <c r="K34" s="41">
        <v>12</v>
      </c>
      <c r="L34" s="15">
        <v>2</v>
      </c>
      <c r="M34" s="56">
        <v>2</v>
      </c>
      <c r="N34" s="176"/>
      <c r="O34" s="23">
        <v>0</v>
      </c>
      <c r="P34" s="25">
        <f>IF(L34=2,K34,0)</f>
        <v>12</v>
      </c>
      <c r="Q34" s="190"/>
      <c r="R34" s="155"/>
      <c r="S34" s="56"/>
      <c r="T34" s="202"/>
      <c r="U34" s="202"/>
      <c r="V34" s="202"/>
      <c r="W34" s="202"/>
      <c r="X34" s="202"/>
      <c r="Y34" s="56"/>
      <c r="Z34" s="203"/>
      <c r="AA34" s="194"/>
      <c r="AB34" s="204"/>
      <c r="AC34" s="156"/>
      <c r="AD34" s="109"/>
    </row>
    <row r="35" spans="1:29" ht="14.25" customHeight="1">
      <c r="A35" s="137" t="s">
        <v>73</v>
      </c>
      <c r="B35" s="52"/>
      <c r="J35" s="171"/>
      <c r="K35" s="42"/>
      <c r="L35" s="109"/>
      <c r="M35" s="114"/>
      <c r="N35" s="47"/>
      <c r="O35" s="21"/>
      <c r="P35" s="21"/>
      <c r="R35" s="110"/>
      <c r="S35" s="92"/>
      <c r="T35" s="209"/>
      <c r="U35" s="209"/>
      <c r="V35" s="209"/>
      <c r="W35" s="209"/>
      <c r="X35" s="111"/>
      <c r="AA35" s="195"/>
      <c r="AC35" s="104"/>
    </row>
    <row r="36" spans="1:30" ht="12.75" customHeight="1">
      <c r="A36" s="137" t="s">
        <v>92</v>
      </c>
      <c r="B36" s="52"/>
      <c r="I36" s="266" t="s">
        <v>1</v>
      </c>
      <c r="J36" s="267"/>
      <c r="K36" s="17">
        <f>SUM(K14:K34)</f>
        <v>108</v>
      </c>
      <c r="L36" s="109"/>
      <c r="M36" s="268"/>
      <c r="N36" s="47"/>
      <c r="O36" s="16">
        <f>SUM(O14:O34)</f>
        <v>0</v>
      </c>
      <c r="P36" s="17">
        <f>SUM(P14:P34)</f>
        <v>12</v>
      </c>
      <c r="Q36" s="269" t="str">
        <f>IF(OR(V15:X15,V21:X21,V24:X29,V33:X33),"ANNI ?","")</f>
        <v>ANNI ?</v>
      </c>
      <c r="R36" s="155"/>
      <c r="S36" s="56"/>
      <c r="T36" s="202"/>
      <c r="U36" s="202"/>
      <c r="V36" s="202"/>
      <c r="W36" s="202"/>
      <c r="X36" s="111"/>
      <c r="Y36" s="149"/>
      <c r="Z36" s="36"/>
      <c r="AA36" s="194"/>
      <c r="AB36" s="36"/>
      <c r="AC36" s="270">
        <f>IF(OR(AB15,AB21:AB21,AB24:AB30),"Ant. N.C.","")</f>
      </c>
      <c r="AD36" s="271">
        <f>SUM(AD14:AD33)</f>
        <v>0</v>
      </c>
    </row>
    <row r="37" spans="1:29" ht="12.75" customHeight="1">
      <c r="A37" s="137" t="s">
        <v>91</v>
      </c>
      <c r="B37" s="52"/>
      <c r="J37" s="171"/>
      <c r="K37" s="42"/>
      <c r="L37" s="120"/>
      <c r="M37" s="114"/>
      <c r="N37" s="47"/>
      <c r="O37" s="21"/>
      <c r="P37" s="21"/>
      <c r="R37" s="110"/>
      <c r="S37" s="92"/>
      <c r="T37" s="209"/>
      <c r="U37" s="209"/>
      <c r="V37" s="209"/>
      <c r="W37" s="209"/>
      <c r="X37" s="111"/>
      <c r="AA37" s="195"/>
      <c r="AC37" s="104"/>
    </row>
    <row r="38" spans="2:30" s="121" customFormat="1" ht="9" customHeight="1">
      <c r="B38" s="53"/>
      <c r="J38" s="172"/>
      <c r="K38" s="43"/>
      <c r="L38" s="122"/>
      <c r="M38" s="123"/>
      <c r="N38" s="177"/>
      <c r="O38" s="27"/>
      <c r="P38" s="27"/>
      <c r="Q38" s="124"/>
      <c r="R38" s="125"/>
      <c r="S38" s="126"/>
      <c r="T38" s="210"/>
      <c r="U38" s="210"/>
      <c r="V38" s="210"/>
      <c r="W38" s="210"/>
      <c r="X38" s="127"/>
      <c r="Y38" s="128"/>
      <c r="Z38" s="129"/>
      <c r="AA38" s="196"/>
      <c r="AB38" s="129"/>
      <c r="AC38" s="130"/>
      <c r="AD38" s="131"/>
    </row>
    <row r="39" spans="2:30" s="121" customFormat="1" ht="15" customHeight="1">
      <c r="B39" s="54" t="s">
        <v>63</v>
      </c>
      <c r="C39" s="132"/>
      <c r="J39" s="173"/>
      <c r="K39" s="44"/>
      <c r="L39" s="122"/>
      <c r="M39" s="123"/>
      <c r="N39" s="177"/>
      <c r="O39" s="27"/>
      <c r="P39" s="27"/>
      <c r="Q39" s="124"/>
      <c r="R39" s="125"/>
      <c r="S39" s="126"/>
      <c r="T39" s="210"/>
      <c r="U39" s="210"/>
      <c r="V39" s="210"/>
      <c r="W39" s="210"/>
      <c r="X39" s="127"/>
      <c r="Y39" s="128"/>
      <c r="Z39" s="129"/>
      <c r="AA39" s="196"/>
      <c r="AB39" s="129"/>
      <c r="AC39" s="130"/>
      <c r="AD39" s="131"/>
    </row>
    <row r="40" spans="2:30" s="121" customFormat="1" ht="24.75" customHeight="1">
      <c r="B40" s="53"/>
      <c r="H40" s="131" t="s">
        <v>3</v>
      </c>
      <c r="I40" s="131" t="s">
        <v>41</v>
      </c>
      <c r="J40" s="173"/>
      <c r="K40" s="44" t="s">
        <v>1</v>
      </c>
      <c r="L40" s="133" t="s">
        <v>8</v>
      </c>
      <c r="M40" s="45" t="s">
        <v>22</v>
      </c>
      <c r="N40" s="178"/>
      <c r="O40" s="27"/>
      <c r="P40" s="27"/>
      <c r="Q40" s="124"/>
      <c r="R40" s="125"/>
      <c r="S40" s="37" t="s">
        <v>14</v>
      </c>
      <c r="T40" s="208"/>
      <c r="U40" s="208"/>
      <c r="V40" s="208"/>
      <c r="W40" s="208"/>
      <c r="X40" s="69"/>
      <c r="Y40" s="102" t="s">
        <v>15</v>
      </c>
      <c r="Z40" s="94"/>
      <c r="AA40" s="103" t="s">
        <v>30</v>
      </c>
      <c r="AB40" s="93"/>
      <c r="AC40" s="104" t="s">
        <v>32</v>
      </c>
      <c r="AD40" s="105" t="s">
        <v>18</v>
      </c>
    </row>
    <row r="41" spans="2:29" ht="9.75" customHeight="1" thickBot="1">
      <c r="B41" s="52"/>
      <c r="J41" s="171"/>
      <c r="K41" s="42"/>
      <c r="L41" s="120"/>
      <c r="M41" s="46"/>
      <c r="N41" s="4"/>
      <c r="O41" s="24"/>
      <c r="P41" s="24"/>
      <c r="R41" s="110"/>
      <c r="S41" s="92"/>
      <c r="T41" s="209"/>
      <c r="U41" s="209"/>
      <c r="V41" s="209"/>
      <c r="W41" s="209"/>
      <c r="X41" s="111"/>
      <c r="AA41" s="195"/>
      <c r="AC41" s="104"/>
    </row>
    <row r="42" spans="1:30" ht="21.75" customHeight="1">
      <c r="A42" s="328" t="s">
        <v>21</v>
      </c>
      <c r="B42" s="55" t="s">
        <v>80</v>
      </c>
      <c r="C42" s="107"/>
      <c r="D42" s="107"/>
      <c r="E42" s="108"/>
      <c r="F42" s="107"/>
      <c r="G42" s="236">
        <v>6</v>
      </c>
      <c r="H42" s="237"/>
      <c r="I42" s="234"/>
      <c r="J42" s="3" t="b">
        <v>0</v>
      </c>
      <c r="K42" s="40">
        <f aca="true" t="shared" si="13" ref="K42:K68">IF(J42=TRUE,G42,"")</f>
      </c>
      <c r="L42" s="238"/>
      <c r="M42" s="58">
        <v>1</v>
      </c>
      <c r="N42" s="47" t="b">
        <v>0</v>
      </c>
      <c r="O42" s="20">
        <f aca="true" t="shared" si="14" ref="O42:O68">IF(L42=1,IF(K42="",0,K42),0)</f>
        <v>0</v>
      </c>
      <c r="P42" s="185">
        <f aca="true" t="shared" si="15" ref="P42:P68">IF(L42=2,IF(K42="",0,K42),0)</f>
        <v>0</v>
      </c>
      <c r="Q42" s="190">
        <f>IF(U42,"SCEGLIERE!",IF(OR(X42,W42,V42),"ANNO ?",IF(S42&lt;&gt;"","ANTICIPO","")))</f>
      </c>
      <c r="R42" s="155"/>
      <c r="S42" s="56">
        <f aca="true" t="shared" si="16" ref="S42:S68">IF(AND(V42=FALSE,X42=FALSE,M42-L42=1,J42,N42=FALSE),K42,"")</f>
      </c>
      <c r="T42" s="202"/>
      <c r="U42" s="202" t="b">
        <f aca="true" t="shared" si="17" ref="U42:U68">IF(AND(N42,J42=FALSE),TRUE,FALSE)</f>
        <v>0</v>
      </c>
      <c r="V42" s="202" t="b">
        <f aca="true" t="shared" si="18" ref="V42:V68">IF(AND(J42,N42=FALSE,L42&lt;$L$6),TRUE,FALSE)</f>
        <v>0</v>
      </c>
      <c r="W42" s="202" t="b">
        <f aca="true" t="shared" si="19" ref="W42:W68">IF(AND(N42,L42&gt;$L$6-$S$6+1),TRUE,FALSE)</f>
        <v>0</v>
      </c>
      <c r="X42" s="202" t="b">
        <f aca="true" t="shared" si="20" ref="X42:X68">IF(OR(AND(J42=FALSE,N42=FALSE),AND(L42&lt;3,L42&gt;0)),FALSE,TRUE)</f>
        <v>0</v>
      </c>
      <c r="Y42" s="56">
        <f aca="true" t="shared" si="21" ref="Y42:Y68">IF(Q42="ANTICIPO",1,"")</f>
      </c>
      <c r="Z42" s="203" t="b">
        <f>AND(N42,X42=FALSE,L42&lt;$L$6,L42&lt;M42)</f>
        <v>0</v>
      </c>
      <c r="AA42" s="194">
        <f>IF(Z42,1,"")</f>
      </c>
      <c r="AB42" s="203" t="b">
        <f aca="true" t="shared" si="22" ref="AB42:AB68">AND(J42,X42=FALSE,L42&lt;M42-1)</f>
        <v>0</v>
      </c>
      <c r="AC42" s="156">
        <f>IF(AB42,"NON CONSENTITO","")</f>
      </c>
      <c r="AD42" s="109">
        <f aca="true" t="shared" si="23" ref="AD42:AD68">IF(AND(N42,X42=FALSE,L42=$L$6,$S$6=1),K42,"")</f>
      </c>
    </row>
    <row r="43" spans="1:30" ht="21.75" customHeight="1">
      <c r="A43" s="329"/>
      <c r="B43" s="55" t="s">
        <v>64</v>
      </c>
      <c r="C43" s="107"/>
      <c r="D43" s="107"/>
      <c r="E43" s="108"/>
      <c r="F43" s="107"/>
      <c r="G43" s="236">
        <v>6</v>
      </c>
      <c r="H43" s="237"/>
      <c r="I43" s="234"/>
      <c r="J43" s="3" t="b">
        <v>0</v>
      </c>
      <c r="K43" s="40">
        <f t="shared" si="13"/>
      </c>
      <c r="L43" s="238"/>
      <c r="M43" s="58">
        <v>1</v>
      </c>
      <c r="N43" s="47" t="b">
        <v>0</v>
      </c>
      <c r="O43" s="20">
        <f t="shared" si="14"/>
        <v>0</v>
      </c>
      <c r="P43" s="22">
        <f t="shared" si="15"/>
        <v>0</v>
      </c>
      <c r="Q43" s="190">
        <f>IF(U43,"SCEGLIERE!",IF(OR(X43,W43,V43),"ANNO ?",IF(S43&lt;&gt;"","ANTICIPO","")))</f>
      </c>
      <c r="R43" s="155"/>
      <c r="S43" s="56">
        <f t="shared" si="16"/>
      </c>
      <c r="T43" s="202"/>
      <c r="U43" s="202" t="b">
        <f t="shared" si="17"/>
        <v>0</v>
      </c>
      <c r="V43" s="202" t="b">
        <f t="shared" si="18"/>
        <v>0</v>
      </c>
      <c r="W43" s="202" t="b">
        <f t="shared" si="19"/>
        <v>0</v>
      </c>
      <c r="X43" s="202" t="b">
        <f t="shared" si="20"/>
        <v>0</v>
      </c>
      <c r="Y43" s="56">
        <f t="shared" si="21"/>
      </c>
      <c r="Z43" s="203" t="b">
        <f>AND(N43,X43=FALSE,L43&lt;$L$6,L43&lt;M43)</f>
        <v>0</v>
      </c>
      <c r="AA43" s="194">
        <f aca="true" t="shared" si="24" ref="AA43:AA63">IF(Z43,1,"")</f>
      </c>
      <c r="AB43" s="203" t="b">
        <f t="shared" si="22"/>
        <v>0</v>
      </c>
      <c r="AC43" s="156">
        <f aca="true" t="shared" si="25" ref="AC43:AC63">IF(AB43,"NON CONSENTITO","")</f>
      </c>
      <c r="AD43" s="109">
        <f t="shared" si="23"/>
      </c>
    </row>
    <row r="44" spans="1:30" ht="21.75" customHeight="1">
      <c r="A44" s="329"/>
      <c r="B44" s="55" t="s">
        <v>88</v>
      </c>
      <c r="C44" s="107"/>
      <c r="D44" s="107"/>
      <c r="E44" s="108"/>
      <c r="F44" s="107"/>
      <c r="G44" s="236">
        <v>6</v>
      </c>
      <c r="H44" s="237"/>
      <c r="I44" s="234"/>
      <c r="J44" s="3" t="b">
        <v>0</v>
      </c>
      <c r="K44" s="40">
        <f t="shared" si="13"/>
      </c>
      <c r="L44" s="238"/>
      <c r="M44" s="58">
        <v>2</v>
      </c>
      <c r="N44" s="47" t="b">
        <v>0</v>
      </c>
      <c r="O44" s="20">
        <f t="shared" si="14"/>
        <v>0</v>
      </c>
      <c r="P44" s="22">
        <f t="shared" si="15"/>
        <v>0</v>
      </c>
      <c r="Q44" s="190">
        <f>IF(U44,"SCEGLIERE!",IF(OR(X44,W44,V44),"ANNO ?",IF(S44&lt;&gt;"","ANTICIPO","")))</f>
      </c>
      <c r="R44" s="155"/>
      <c r="S44" s="56">
        <f t="shared" si="16"/>
      </c>
      <c r="T44" s="202"/>
      <c r="U44" s="202" t="b">
        <f t="shared" si="17"/>
        <v>0</v>
      </c>
      <c r="V44" s="202" t="b">
        <f t="shared" si="18"/>
        <v>0</v>
      </c>
      <c r="W44" s="202" t="b">
        <f t="shared" si="19"/>
        <v>0</v>
      </c>
      <c r="X44" s="202" t="b">
        <f t="shared" si="20"/>
        <v>0</v>
      </c>
      <c r="Y44" s="56">
        <f t="shared" si="21"/>
      </c>
      <c r="Z44" s="203" t="b">
        <f aca="true" t="shared" si="26" ref="Z44:Z71">AND(N44,X44=FALSE,L44&lt;$L$6,L44&lt;M44)</f>
        <v>0</v>
      </c>
      <c r="AA44" s="194">
        <f t="shared" si="24"/>
      </c>
      <c r="AB44" s="203" t="b">
        <f t="shared" si="22"/>
        <v>0</v>
      </c>
      <c r="AC44" s="156">
        <f t="shared" si="25"/>
      </c>
      <c r="AD44" s="109">
        <f t="shared" si="23"/>
      </c>
    </row>
    <row r="45" spans="1:30" ht="21.75" customHeight="1">
      <c r="A45" s="329"/>
      <c r="B45" s="55" t="s">
        <v>79</v>
      </c>
      <c r="C45" s="107"/>
      <c r="D45" s="107"/>
      <c r="E45" s="108"/>
      <c r="F45" s="107"/>
      <c r="G45" s="236">
        <v>6</v>
      </c>
      <c r="H45" s="237"/>
      <c r="I45" s="234"/>
      <c r="J45" s="3" t="b">
        <v>0</v>
      </c>
      <c r="K45" s="40">
        <f t="shared" si="13"/>
      </c>
      <c r="L45" s="238"/>
      <c r="M45" s="58">
        <v>1</v>
      </c>
      <c r="N45" s="47" t="b">
        <v>0</v>
      </c>
      <c r="O45" s="20">
        <f t="shared" si="14"/>
        <v>0</v>
      </c>
      <c r="P45" s="22">
        <f t="shared" si="15"/>
        <v>0</v>
      </c>
      <c r="Q45" s="190">
        <f>IF(AND(J45=TRUE,$G$15=1),"GIÀ SCELTO!",IF(U45,"SCEGLIERE!",IF(OR(X45,W45,V45),"ANNO ?",IF(S45&lt;&gt;"","ANTICIPO",""))))</f>
      </c>
      <c r="R45" s="155"/>
      <c r="S45" s="56">
        <f t="shared" si="16"/>
      </c>
      <c r="T45" s="202"/>
      <c r="U45" s="202" t="b">
        <f t="shared" si="17"/>
        <v>0</v>
      </c>
      <c r="V45" s="202" t="b">
        <f t="shared" si="18"/>
        <v>0</v>
      </c>
      <c r="W45" s="202" t="b">
        <f t="shared" si="19"/>
        <v>0</v>
      </c>
      <c r="X45" s="202" t="b">
        <f t="shared" si="20"/>
        <v>0</v>
      </c>
      <c r="Y45" s="56">
        <f t="shared" si="21"/>
      </c>
      <c r="Z45" s="203" t="b">
        <f t="shared" si="26"/>
        <v>0</v>
      </c>
      <c r="AA45" s="194">
        <f t="shared" si="24"/>
      </c>
      <c r="AB45" s="203" t="b">
        <f t="shared" si="22"/>
        <v>0</v>
      </c>
      <c r="AC45" s="156">
        <f t="shared" si="25"/>
      </c>
      <c r="AD45" s="109">
        <f t="shared" si="23"/>
      </c>
    </row>
    <row r="46" spans="1:30" ht="21.75" customHeight="1">
      <c r="A46" s="329"/>
      <c r="B46" s="55" t="s">
        <v>81</v>
      </c>
      <c r="C46" s="134"/>
      <c r="D46" s="134"/>
      <c r="E46" s="108"/>
      <c r="F46" s="107"/>
      <c r="G46" s="236">
        <v>9</v>
      </c>
      <c r="H46" s="237"/>
      <c r="I46" s="234"/>
      <c r="J46" s="3" t="b">
        <v>0</v>
      </c>
      <c r="K46" s="40">
        <f t="shared" si="13"/>
      </c>
      <c r="L46" s="238"/>
      <c r="M46" s="58">
        <v>2</v>
      </c>
      <c r="N46" s="47" t="b">
        <v>0</v>
      </c>
      <c r="O46" s="20">
        <f t="shared" si="14"/>
        <v>0</v>
      </c>
      <c r="P46" s="22">
        <f t="shared" si="15"/>
        <v>0</v>
      </c>
      <c r="Q46" s="190">
        <f aca="true" t="shared" si="27" ref="Q46:Q55">IF(U46,"SCEGLIERE!",IF(OR(X46,W46,V46),"ANNO ?",IF(S46&lt;&gt;"","ANTICIPO","")))</f>
      </c>
      <c r="R46" s="155"/>
      <c r="S46" s="56">
        <f t="shared" si="16"/>
      </c>
      <c r="T46" s="202"/>
      <c r="U46" s="202" t="b">
        <f t="shared" si="17"/>
        <v>0</v>
      </c>
      <c r="V46" s="202" t="b">
        <f t="shared" si="18"/>
        <v>0</v>
      </c>
      <c r="W46" s="202" t="b">
        <f t="shared" si="19"/>
        <v>0</v>
      </c>
      <c r="X46" s="202" t="b">
        <f t="shared" si="20"/>
        <v>0</v>
      </c>
      <c r="Y46" s="56">
        <f t="shared" si="21"/>
      </c>
      <c r="Z46" s="203" t="b">
        <f t="shared" si="26"/>
        <v>0</v>
      </c>
      <c r="AA46" s="194">
        <f t="shared" si="24"/>
      </c>
      <c r="AB46" s="203" t="b">
        <f t="shared" si="22"/>
        <v>0</v>
      </c>
      <c r="AC46" s="156">
        <f t="shared" si="25"/>
      </c>
      <c r="AD46" s="109">
        <f t="shared" si="23"/>
      </c>
    </row>
    <row r="47" spans="1:30" ht="21.75" customHeight="1">
      <c r="A47" s="330"/>
      <c r="B47" s="55" t="s">
        <v>87</v>
      </c>
      <c r="C47" s="134"/>
      <c r="D47" s="134"/>
      <c r="E47" s="108"/>
      <c r="F47" s="107"/>
      <c r="G47" s="236">
        <v>6</v>
      </c>
      <c r="H47" s="237"/>
      <c r="I47" s="234"/>
      <c r="J47" s="3" t="b">
        <v>0</v>
      </c>
      <c r="K47" s="40">
        <f t="shared" si="13"/>
      </c>
      <c r="L47" s="238"/>
      <c r="M47" s="58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0">
        <f t="shared" si="27"/>
      </c>
      <c r="R47" s="155"/>
      <c r="S47" s="56">
        <f t="shared" si="16"/>
      </c>
      <c r="T47" s="202"/>
      <c r="U47" s="202" t="b">
        <f t="shared" si="17"/>
        <v>0</v>
      </c>
      <c r="V47" s="202" t="b">
        <f t="shared" si="18"/>
        <v>0</v>
      </c>
      <c r="W47" s="202" t="b">
        <f t="shared" si="19"/>
        <v>0</v>
      </c>
      <c r="X47" s="202" t="b">
        <f t="shared" si="20"/>
        <v>0</v>
      </c>
      <c r="Y47" s="56">
        <f t="shared" si="21"/>
      </c>
      <c r="Z47" s="203" t="b">
        <f t="shared" si="26"/>
        <v>0</v>
      </c>
      <c r="AA47" s="194">
        <f t="shared" si="24"/>
      </c>
      <c r="AB47" s="203" t="b">
        <f t="shared" si="22"/>
        <v>0</v>
      </c>
      <c r="AC47" s="156">
        <f t="shared" si="25"/>
      </c>
      <c r="AD47" s="109">
        <f t="shared" si="23"/>
      </c>
    </row>
    <row r="48" spans="1:30" ht="21.75" customHeight="1">
      <c r="A48" s="330"/>
      <c r="B48" s="55" t="s">
        <v>102</v>
      </c>
      <c r="C48" s="107"/>
      <c r="D48" s="107"/>
      <c r="E48" s="108"/>
      <c r="F48" s="107"/>
      <c r="G48" s="236">
        <v>6</v>
      </c>
      <c r="H48" s="237"/>
      <c r="I48" s="234"/>
      <c r="J48" s="3" t="b">
        <v>0</v>
      </c>
      <c r="K48" s="40">
        <f t="shared" si="13"/>
      </c>
      <c r="L48" s="238"/>
      <c r="M48" s="58">
        <v>1</v>
      </c>
      <c r="N48" s="47" t="b">
        <v>0</v>
      </c>
      <c r="O48" s="20">
        <f t="shared" si="14"/>
        <v>0</v>
      </c>
      <c r="P48" s="22">
        <f t="shared" si="15"/>
        <v>0</v>
      </c>
      <c r="Q48" s="190">
        <f t="shared" si="27"/>
      </c>
      <c r="R48" s="155"/>
      <c r="S48" s="56">
        <f t="shared" si="16"/>
      </c>
      <c r="T48" s="202"/>
      <c r="U48" s="202" t="b">
        <f t="shared" si="17"/>
        <v>0</v>
      </c>
      <c r="V48" s="202" t="b">
        <f t="shared" si="18"/>
        <v>0</v>
      </c>
      <c r="W48" s="202" t="b">
        <f t="shared" si="19"/>
        <v>0</v>
      </c>
      <c r="X48" s="202" t="b">
        <f t="shared" si="20"/>
        <v>0</v>
      </c>
      <c r="Y48" s="56">
        <f t="shared" si="21"/>
      </c>
      <c r="Z48" s="203" t="b">
        <f t="shared" si="26"/>
        <v>0</v>
      </c>
      <c r="AA48" s="194">
        <f t="shared" si="24"/>
      </c>
      <c r="AB48" s="203" t="b">
        <f t="shared" si="22"/>
        <v>0</v>
      </c>
      <c r="AC48" s="156">
        <f t="shared" si="25"/>
      </c>
      <c r="AD48" s="109">
        <f t="shared" si="23"/>
      </c>
    </row>
    <row r="49" spans="1:30" ht="21.75" customHeight="1">
      <c r="A49" s="330"/>
      <c r="B49" s="55" t="s">
        <v>103</v>
      </c>
      <c r="C49" s="107"/>
      <c r="D49" s="107"/>
      <c r="E49" s="108"/>
      <c r="F49" s="107"/>
      <c r="G49" s="236">
        <v>6</v>
      </c>
      <c r="H49" s="237"/>
      <c r="I49" s="234"/>
      <c r="J49" s="3" t="b">
        <v>0</v>
      </c>
      <c r="K49" s="40">
        <f t="shared" si="13"/>
      </c>
      <c r="L49" s="238"/>
      <c r="M49" s="58">
        <v>1</v>
      </c>
      <c r="N49" s="47" t="b">
        <v>0</v>
      </c>
      <c r="O49" s="20">
        <f t="shared" si="14"/>
        <v>0</v>
      </c>
      <c r="P49" s="22">
        <f t="shared" si="15"/>
        <v>0</v>
      </c>
      <c r="Q49" s="190">
        <f t="shared" si="27"/>
      </c>
      <c r="R49" s="155"/>
      <c r="S49" s="56">
        <f t="shared" si="16"/>
      </c>
      <c r="T49" s="202"/>
      <c r="U49" s="202" t="b">
        <f t="shared" si="17"/>
        <v>0</v>
      </c>
      <c r="V49" s="202" t="b">
        <f t="shared" si="18"/>
        <v>0</v>
      </c>
      <c r="W49" s="202" t="b">
        <f t="shared" si="19"/>
        <v>0</v>
      </c>
      <c r="X49" s="202" t="b">
        <f t="shared" si="20"/>
        <v>0</v>
      </c>
      <c r="Y49" s="56">
        <f t="shared" si="21"/>
      </c>
      <c r="Z49" s="203" t="b">
        <f>AND(N49,X49=FALSE,L49&lt;$L$6,L49&lt;M49)</f>
        <v>0</v>
      </c>
      <c r="AA49" s="194">
        <f>IF(Z49,1,"")</f>
      </c>
      <c r="AB49" s="203" t="b">
        <f t="shared" si="22"/>
        <v>0</v>
      </c>
      <c r="AC49" s="156">
        <f>IF(AB49,"NON CONSENTITO","")</f>
      </c>
      <c r="AD49" s="109">
        <f t="shared" si="23"/>
      </c>
    </row>
    <row r="50" spans="1:30" ht="21.75" customHeight="1">
      <c r="A50" s="331"/>
      <c r="B50" s="55" t="s">
        <v>60</v>
      </c>
      <c r="C50" s="107"/>
      <c r="D50" s="107"/>
      <c r="E50" s="108"/>
      <c r="F50" s="107"/>
      <c r="G50" s="236">
        <v>6</v>
      </c>
      <c r="H50" s="237"/>
      <c r="I50" s="234"/>
      <c r="J50" s="3" t="b">
        <v>0</v>
      </c>
      <c r="K50" s="40">
        <f t="shared" si="13"/>
      </c>
      <c r="L50" s="238"/>
      <c r="M50" s="58">
        <v>2</v>
      </c>
      <c r="N50" s="47" t="b">
        <v>0</v>
      </c>
      <c r="O50" s="20">
        <f t="shared" si="14"/>
        <v>0</v>
      </c>
      <c r="P50" s="22">
        <f t="shared" si="15"/>
        <v>0</v>
      </c>
      <c r="Q50" s="190">
        <f t="shared" si="27"/>
      </c>
      <c r="R50" s="155"/>
      <c r="S50" s="56">
        <f t="shared" si="16"/>
      </c>
      <c r="T50" s="202"/>
      <c r="U50" s="202" t="b">
        <f t="shared" si="17"/>
        <v>0</v>
      </c>
      <c r="V50" s="202" t="b">
        <f t="shared" si="18"/>
        <v>0</v>
      </c>
      <c r="W50" s="202" t="b">
        <f t="shared" si="19"/>
        <v>0</v>
      </c>
      <c r="X50" s="202" t="b">
        <f t="shared" si="20"/>
        <v>0</v>
      </c>
      <c r="Y50" s="56">
        <f t="shared" si="21"/>
      </c>
      <c r="Z50" s="203" t="b">
        <f t="shared" si="26"/>
        <v>0</v>
      </c>
      <c r="AA50" s="194">
        <f t="shared" si="24"/>
      </c>
      <c r="AB50" s="203" t="b">
        <f t="shared" si="22"/>
        <v>0</v>
      </c>
      <c r="AC50" s="156">
        <f t="shared" si="25"/>
      </c>
      <c r="AD50" s="109">
        <f t="shared" si="23"/>
      </c>
    </row>
    <row r="51" spans="1:30" ht="21.75" customHeight="1">
      <c r="A51" s="331"/>
      <c r="B51" s="55" t="s">
        <v>50</v>
      </c>
      <c r="C51" s="107"/>
      <c r="D51" s="107"/>
      <c r="E51" s="108"/>
      <c r="F51" s="107"/>
      <c r="G51" s="236">
        <v>6</v>
      </c>
      <c r="H51" s="237"/>
      <c r="I51" s="234"/>
      <c r="J51" s="3" t="b">
        <v>0</v>
      </c>
      <c r="K51" s="40">
        <f t="shared" si="13"/>
      </c>
      <c r="L51" s="238"/>
      <c r="M51" s="58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0">
        <f>IF(U51,"SCEGLIERE!",IF(OR(X51,W51,V51),"ANNO ?",IF(S51&lt;&gt;"","ANTICIPO","")))</f>
      </c>
      <c r="R51" s="155"/>
      <c r="S51" s="56">
        <f t="shared" si="16"/>
      </c>
      <c r="T51" s="202"/>
      <c r="U51" s="202" t="b">
        <f>IF(AND(N51,J51=FALSE),TRUE,FALSE)</f>
        <v>0</v>
      </c>
      <c r="V51" s="202" t="b">
        <f>IF(AND(J51,N51=FALSE,L51&lt;$L$6),TRUE,FALSE)</f>
        <v>0</v>
      </c>
      <c r="W51" s="202" t="b">
        <f t="shared" si="19"/>
        <v>0</v>
      </c>
      <c r="X51" s="202" t="b">
        <f>IF(OR(AND(J51=FALSE,N51=FALSE),AND(L51&lt;3,L51&gt;0)),FALSE,TRUE)</f>
        <v>0</v>
      </c>
      <c r="Y51" s="56">
        <f t="shared" si="21"/>
      </c>
      <c r="Z51" s="203" t="b">
        <f>AND(N51,X51=FALSE,L51&lt;$L$6,L51&lt;M51)</f>
        <v>0</v>
      </c>
      <c r="AA51" s="194">
        <f>IF(Z51,1,"")</f>
      </c>
      <c r="AB51" s="203" t="b">
        <f t="shared" si="22"/>
        <v>0</v>
      </c>
      <c r="AC51" s="156">
        <f>IF(AB51,"NON CONSENTITO","")</f>
      </c>
      <c r="AD51" s="109">
        <f t="shared" si="23"/>
      </c>
    </row>
    <row r="52" spans="1:30" ht="21.75" customHeight="1">
      <c r="A52" s="331"/>
      <c r="B52" s="55" t="s">
        <v>96</v>
      </c>
      <c r="C52" s="107"/>
      <c r="D52" s="107"/>
      <c r="E52" s="108"/>
      <c r="F52" s="107"/>
      <c r="G52" s="236">
        <v>6</v>
      </c>
      <c r="H52" s="237"/>
      <c r="I52" s="234"/>
      <c r="J52" s="3" t="b">
        <v>0</v>
      </c>
      <c r="K52" s="40">
        <f t="shared" si="13"/>
      </c>
      <c r="L52" s="238"/>
      <c r="M52" s="58">
        <v>1</v>
      </c>
      <c r="N52" s="47" t="b">
        <v>0</v>
      </c>
      <c r="O52" s="20">
        <f t="shared" si="14"/>
        <v>0</v>
      </c>
      <c r="P52" s="22">
        <f t="shared" si="15"/>
        <v>0</v>
      </c>
      <c r="Q52" s="190">
        <f t="shared" si="27"/>
      </c>
      <c r="R52" s="155"/>
      <c r="S52" s="56">
        <f t="shared" si="16"/>
      </c>
      <c r="T52" s="202"/>
      <c r="U52" s="202" t="b">
        <f t="shared" si="17"/>
        <v>0</v>
      </c>
      <c r="V52" s="202" t="b">
        <f t="shared" si="18"/>
        <v>0</v>
      </c>
      <c r="W52" s="202" t="b">
        <f t="shared" si="19"/>
        <v>0</v>
      </c>
      <c r="X52" s="202" t="b">
        <f t="shared" si="20"/>
        <v>0</v>
      </c>
      <c r="Y52" s="56">
        <f t="shared" si="21"/>
      </c>
      <c r="Z52" s="203" t="b">
        <f t="shared" si="26"/>
        <v>0</v>
      </c>
      <c r="AA52" s="194">
        <f t="shared" si="24"/>
      </c>
      <c r="AB52" s="203" t="b">
        <f t="shared" si="22"/>
        <v>0</v>
      </c>
      <c r="AC52" s="156">
        <f t="shared" si="25"/>
      </c>
      <c r="AD52" s="109">
        <f t="shared" si="23"/>
      </c>
    </row>
    <row r="53" spans="1:30" ht="21.75" customHeight="1">
      <c r="A53" s="331"/>
      <c r="B53" s="55" t="s">
        <v>97</v>
      </c>
      <c r="C53" s="106"/>
      <c r="D53" s="134"/>
      <c r="E53" s="108"/>
      <c r="F53" s="107"/>
      <c r="G53" s="236">
        <v>6</v>
      </c>
      <c r="H53" s="237"/>
      <c r="I53" s="234"/>
      <c r="J53" s="3" t="b">
        <v>0</v>
      </c>
      <c r="K53" s="40">
        <f t="shared" si="13"/>
      </c>
      <c r="L53" s="238"/>
      <c r="M53" s="58">
        <v>2</v>
      </c>
      <c r="N53" s="47" t="b">
        <v>0</v>
      </c>
      <c r="O53" s="20">
        <f t="shared" si="14"/>
        <v>0</v>
      </c>
      <c r="P53" s="22">
        <f t="shared" si="15"/>
        <v>0</v>
      </c>
      <c r="Q53" s="190">
        <f>IF(U53,"SCEGLIERE!",IF(OR(X53,W53,V53),"ANNO ?",IF(S53&lt;&gt;"","ANTICIPO","")))</f>
      </c>
      <c r="R53" s="155"/>
      <c r="S53" s="56">
        <f t="shared" si="16"/>
      </c>
      <c r="T53" s="202"/>
      <c r="U53" s="202" t="b">
        <f>IF(AND(N53,J53=FALSE),TRUE,FALSE)</f>
        <v>0</v>
      </c>
      <c r="V53" s="202" t="b">
        <f>IF(AND(J53,N53=FALSE,L53&lt;$L$6),TRUE,FALSE)</f>
        <v>0</v>
      </c>
      <c r="W53" s="202" t="b">
        <f t="shared" si="19"/>
        <v>0</v>
      </c>
      <c r="X53" s="202" t="b">
        <f>IF(OR(AND(J53=FALSE,N53=FALSE),AND(L53&lt;3,L53&gt;0)),FALSE,TRUE)</f>
        <v>0</v>
      </c>
      <c r="Y53" s="56">
        <f t="shared" si="21"/>
      </c>
      <c r="Z53" s="203" t="b">
        <f>AND(N53,X53=FALSE,L53&lt;$L$6,L53&lt;M53)</f>
        <v>0</v>
      </c>
      <c r="AA53" s="194">
        <f>IF(Z53,1,"")</f>
      </c>
      <c r="AB53" s="203" t="b">
        <f t="shared" si="22"/>
        <v>0</v>
      </c>
      <c r="AC53" s="156">
        <f>IF(AB53,"NON CONSENTITO","")</f>
      </c>
      <c r="AD53" s="109">
        <f t="shared" si="23"/>
      </c>
    </row>
    <row r="54" spans="1:30" ht="21.75" customHeight="1">
      <c r="A54" s="331"/>
      <c r="B54" s="55" t="s">
        <v>65</v>
      </c>
      <c r="C54" s="106"/>
      <c r="D54" s="134"/>
      <c r="E54" s="108"/>
      <c r="F54" s="107"/>
      <c r="G54" s="236">
        <v>6</v>
      </c>
      <c r="H54" s="237"/>
      <c r="I54" s="234"/>
      <c r="J54" s="3" t="b">
        <v>0</v>
      </c>
      <c r="K54" s="40">
        <f t="shared" si="13"/>
      </c>
      <c r="L54" s="238"/>
      <c r="M54" s="58">
        <v>2</v>
      </c>
      <c r="N54" s="47" t="b">
        <v>0</v>
      </c>
      <c r="O54" s="20">
        <f t="shared" si="14"/>
        <v>0</v>
      </c>
      <c r="P54" s="22">
        <f t="shared" si="15"/>
        <v>0</v>
      </c>
      <c r="Q54" s="190">
        <f>IF(U54,"SCEGLIERE!",IF(OR(X54,W54,V54),"ANNO ?",IF(S54&lt;&gt;"","ANTICIPO","")))</f>
      </c>
      <c r="R54" s="155"/>
      <c r="S54" s="56">
        <f t="shared" si="16"/>
      </c>
      <c r="T54" s="202"/>
      <c r="U54" s="202" t="b">
        <f>IF(AND(N54,J54=FALSE),TRUE,FALSE)</f>
        <v>0</v>
      </c>
      <c r="V54" s="202" t="b">
        <f>IF(AND(J54,N54=FALSE,L54&lt;$L$6),TRUE,FALSE)</f>
        <v>0</v>
      </c>
      <c r="W54" s="202" t="b">
        <f t="shared" si="19"/>
        <v>0</v>
      </c>
      <c r="X54" s="202" t="b">
        <f>IF(OR(AND(J54=FALSE,N54=FALSE),AND(L54&lt;3,L54&gt;0)),FALSE,TRUE)</f>
        <v>0</v>
      </c>
      <c r="Y54" s="56">
        <f t="shared" si="21"/>
      </c>
      <c r="Z54" s="203" t="b">
        <f>AND(N54,X54=FALSE,L54&lt;$L$6,L54&lt;M54)</f>
        <v>0</v>
      </c>
      <c r="AA54" s="194">
        <f>IF(Z54,1,"")</f>
      </c>
      <c r="AB54" s="203" t="b">
        <f t="shared" si="22"/>
        <v>0</v>
      </c>
      <c r="AC54" s="156">
        <f>IF(AB54,"NON CONSENTITO","")</f>
      </c>
      <c r="AD54" s="109">
        <f t="shared" si="23"/>
      </c>
    </row>
    <row r="55" spans="1:30" ht="21.75" customHeight="1">
      <c r="A55" s="331"/>
      <c r="B55" s="55" t="s">
        <v>93</v>
      </c>
      <c r="C55" s="106"/>
      <c r="D55" s="134"/>
      <c r="E55" s="108"/>
      <c r="F55" s="107"/>
      <c r="G55" s="236">
        <v>6</v>
      </c>
      <c r="H55" s="237"/>
      <c r="I55" s="234"/>
      <c r="J55" s="3" t="b">
        <v>0</v>
      </c>
      <c r="K55" s="40">
        <f t="shared" si="13"/>
      </c>
      <c r="L55" s="238"/>
      <c r="M55" s="58">
        <v>2</v>
      </c>
      <c r="N55" s="47" t="b">
        <v>0</v>
      </c>
      <c r="O55" s="20">
        <f t="shared" si="14"/>
        <v>0</v>
      </c>
      <c r="P55" s="22">
        <f t="shared" si="15"/>
        <v>0</v>
      </c>
      <c r="Q55" s="190">
        <f t="shared" si="27"/>
      </c>
      <c r="R55" s="155"/>
      <c r="S55" s="56">
        <f t="shared" si="16"/>
      </c>
      <c r="T55" s="202"/>
      <c r="U55" s="202" t="b">
        <f t="shared" si="17"/>
        <v>0</v>
      </c>
      <c r="V55" s="202" t="b">
        <f t="shared" si="18"/>
        <v>0</v>
      </c>
      <c r="W55" s="202" t="b">
        <f t="shared" si="19"/>
        <v>0</v>
      </c>
      <c r="X55" s="202" t="b">
        <f t="shared" si="20"/>
        <v>0</v>
      </c>
      <c r="Y55" s="56">
        <f t="shared" si="21"/>
      </c>
      <c r="Z55" s="203" t="b">
        <f t="shared" si="26"/>
        <v>0</v>
      </c>
      <c r="AA55" s="194">
        <f t="shared" si="24"/>
      </c>
      <c r="AB55" s="203" t="b">
        <f t="shared" si="22"/>
        <v>0</v>
      </c>
      <c r="AC55" s="156">
        <f t="shared" si="25"/>
      </c>
      <c r="AD55" s="109">
        <f t="shared" si="23"/>
      </c>
    </row>
    <row r="56" spans="1:30" ht="21.75" customHeight="1">
      <c r="A56" s="331"/>
      <c r="B56" s="55" t="s">
        <v>99</v>
      </c>
      <c r="C56" s="106"/>
      <c r="D56" s="134"/>
      <c r="E56" s="108"/>
      <c r="F56" s="107"/>
      <c r="G56" s="236">
        <v>6</v>
      </c>
      <c r="H56" s="237"/>
      <c r="I56" s="234"/>
      <c r="J56" s="3" t="b">
        <v>0</v>
      </c>
      <c r="K56" s="40">
        <f t="shared" si="13"/>
      </c>
      <c r="L56" s="238"/>
      <c r="M56" s="58">
        <v>2</v>
      </c>
      <c r="N56" s="47" t="b">
        <v>0</v>
      </c>
      <c r="O56" s="20">
        <f t="shared" si="14"/>
        <v>0</v>
      </c>
      <c r="P56" s="22">
        <f t="shared" si="15"/>
        <v>0</v>
      </c>
      <c r="Q56" s="190">
        <f>IF(U56,"SCEGLIERE!",IF(OR(X56,W56,V56),"ANNO ?",IF(S56&lt;&gt;"","ANTICIPO","")))</f>
      </c>
      <c r="R56" s="155"/>
      <c r="S56" s="56">
        <f t="shared" si="16"/>
      </c>
      <c r="T56" s="202"/>
      <c r="U56" s="202" t="b">
        <f t="shared" si="17"/>
        <v>0</v>
      </c>
      <c r="V56" s="202" t="b">
        <f t="shared" si="18"/>
        <v>0</v>
      </c>
      <c r="W56" s="202" t="b">
        <f t="shared" si="19"/>
        <v>0</v>
      </c>
      <c r="X56" s="202" t="b">
        <f t="shared" si="20"/>
        <v>0</v>
      </c>
      <c r="Y56" s="56">
        <f t="shared" si="21"/>
      </c>
      <c r="Z56" s="203" t="b">
        <f>AND(N56,X56=FALSE,L56&lt;$L$6,L56&lt;M56)</f>
        <v>0</v>
      </c>
      <c r="AA56" s="194">
        <f>IF(Z56,1,"")</f>
      </c>
      <c r="AB56" s="203" t="b">
        <f t="shared" si="22"/>
        <v>0</v>
      </c>
      <c r="AC56" s="156">
        <f>IF(AB56,"NON CONSENTITO","")</f>
      </c>
      <c r="AD56" s="109">
        <f t="shared" si="23"/>
      </c>
    </row>
    <row r="57" spans="1:30" ht="21.75" customHeight="1">
      <c r="A57" s="331"/>
      <c r="B57" s="55" t="s">
        <v>100</v>
      </c>
      <c r="C57" s="106"/>
      <c r="D57" s="134"/>
      <c r="E57" s="108"/>
      <c r="F57" s="107"/>
      <c r="G57" s="236">
        <v>6</v>
      </c>
      <c r="H57" s="237"/>
      <c r="I57" s="234"/>
      <c r="J57" s="3" t="b">
        <v>0</v>
      </c>
      <c r="K57" s="40">
        <f t="shared" si="13"/>
      </c>
      <c r="L57" s="238"/>
      <c r="M57" s="58">
        <v>2</v>
      </c>
      <c r="N57" s="47" t="b">
        <v>0</v>
      </c>
      <c r="O57" s="20">
        <f t="shared" si="14"/>
        <v>0</v>
      </c>
      <c r="P57" s="22">
        <f t="shared" si="15"/>
        <v>0</v>
      </c>
      <c r="Q57" s="190">
        <f>IF(U57,"SCEGLIERE!",IF(OR(X57,W57,V57),"ANNO ?",IF(S57&lt;&gt;"","ANTICIPO","")))</f>
      </c>
      <c r="R57" s="155"/>
      <c r="S57" s="56">
        <f t="shared" si="16"/>
      </c>
      <c r="T57" s="202"/>
      <c r="U57" s="202" t="b">
        <f>IF(AND(N57,J57=FALSE),TRUE,FALSE)</f>
        <v>0</v>
      </c>
      <c r="V57" s="202" t="b">
        <f>IF(AND(J57,N57=FALSE,L57&lt;$L$6),TRUE,FALSE)</f>
        <v>0</v>
      </c>
      <c r="W57" s="202" t="b">
        <f t="shared" si="19"/>
        <v>0</v>
      </c>
      <c r="X57" s="202" t="b">
        <f t="shared" si="20"/>
        <v>0</v>
      </c>
      <c r="Y57" s="56">
        <f t="shared" si="21"/>
      </c>
      <c r="Z57" s="203" t="b">
        <f>AND(N57,X57=FALSE,L57&lt;$L$6,L57&lt;M57)</f>
        <v>0</v>
      </c>
      <c r="AA57" s="194">
        <f>IF(Z57,1,"")</f>
      </c>
      <c r="AB57" s="203" t="b">
        <f t="shared" si="22"/>
        <v>0</v>
      </c>
      <c r="AC57" s="156">
        <f>IF(AB57,"NON CONSENTITO","")</f>
      </c>
      <c r="AD57" s="109">
        <f t="shared" si="23"/>
      </c>
    </row>
    <row r="58" spans="1:30" ht="21.75" customHeight="1">
      <c r="A58" s="331"/>
      <c r="B58" s="55" t="s">
        <v>76</v>
      </c>
      <c r="C58" s="106"/>
      <c r="D58" s="134"/>
      <c r="E58" s="108"/>
      <c r="F58" s="107"/>
      <c r="G58" s="236">
        <v>6</v>
      </c>
      <c r="H58" s="237"/>
      <c r="I58" s="234"/>
      <c r="J58" s="3" t="b">
        <v>0</v>
      </c>
      <c r="K58" s="40">
        <f t="shared" si="13"/>
      </c>
      <c r="L58" s="238"/>
      <c r="M58" s="58">
        <v>1</v>
      </c>
      <c r="N58" s="47" t="b">
        <v>0</v>
      </c>
      <c r="O58" s="20">
        <f t="shared" si="14"/>
        <v>0</v>
      </c>
      <c r="P58" s="22">
        <f t="shared" si="15"/>
        <v>0</v>
      </c>
      <c r="Q58" s="190">
        <f>IF(AND(J58=TRUE,$G$15=2),"GIÀ SCELTO!",IF(U58,"SCEGLIERE!",IF(OR(X58,W58,V58),"ANNO ?",IF(S58&lt;&gt;"","ANTICIPO",""))))</f>
      </c>
      <c r="R58" s="155"/>
      <c r="S58" s="56">
        <f t="shared" si="16"/>
      </c>
      <c r="T58" s="202"/>
      <c r="U58" s="202" t="b">
        <f t="shared" si="17"/>
        <v>0</v>
      </c>
      <c r="V58" s="202" t="b">
        <f t="shared" si="18"/>
        <v>0</v>
      </c>
      <c r="W58" s="202" t="b">
        <f t="shared" si="19"/>
        <v>0</v>
      </c>
      <c r="X58" s="202" t="b">
        <f t="shared" si="20"/>
        <v>0</v>
      </c>
      <c r="Y58" s="56">
        <f t="shared" si="21"/>
      </c>
      <c r="Z58" s="203" t="b">
        <f>AND(N58,X58=FALSE,L58&lt;$L$6,L58&lt;M58)</f>
        <v>0</v>
      </c>
      <c r="AA58" s="194">
        <f>IF(Z58,1,"")</f>
      </c>
      <c r="AB58" s="203" t="b">
        <f t="shared" si="22"/>
        <v>0</v>
      </c>
      <c r="AC58" s="156">
        <f>IF(AB58,"NON CONSENTITO","")</f>
      </c>
      <c r="AD58" s="109">
        <f t="shared" si="23"/>
      </c>
    </row>
    <row r="59" spans="1:30" ht="21.75" customHeight="1">
      <c r="A59" s="331"/>
      <c r="B59" s="55" t="s">
        <v>49</v>
      </c>
      <c r="C59" s="106"/>
      <c r="D59" s="134"/>
      <c r="E59" s="108"/>
      <c r="F59" s="107"/>
      <c r="G59" s="236">
        <v>6</v>
      </c>
      <c r="H59" s="237"/>
      <c r="I59" s="234"/>
      <c r="J59" s="3" t="b">
        <v>0</v>
      </c>
      <c r="K59" s="40">
        <f t="shared" si="13"/>
      </c>
      <c r="L59" s="238"/>
      <c r="M59" s="58">
        <v>1</v>
      </c>
      <c r="N59" s="47" t="b">
        <v>0</v>
      </c>
      <c r="O59" s="20">
        <f t="shared" si="14"/>
        <v>0</v>
      </c>
      <c r="P59" s="22">
        <f t="shared" si="15"/>
        <v>0</v>
      </c>
      <c r="Q59" s="190">
        <f>IF(U59,"SCEGLIERE!",IF(OR(X59,W59,V59),"ANNO ?",IF(S59&lt;&gt;"","ANTICIPO","")))</f>
      </c>
      <c r="R59" s="155"/>
      <c r="S59" s="56">
        <f t="shared" si="16"/>
      </c>
      <c r="T59" s="202"/>
      <c r="U59" s="202" t="b">
        <f t="shared" si="17"/>
        <v>0</v>
      </c>
      <c r="V59" s="202" t="b">
        <f t="shared" si="18"/>
        <v>0</v>
      </c>
      <c r="W59" s="202" t="b">
        <f t="shared" si="19"/>
        <v>0</v>
      </c>
      <c r="X59" s="202" t="b">
        <f t="shared" si="20"/>
        <v>0</v>
      </c>
      <c r="Y59" s="56">
        <f t="shared" si="21"/>
      </c>
      <c r="Z59" s="203" t="b">
        <f t="shared" si="26"/>
        <v>0</v>
      </c>
      <c r="AA59" s="194">
        <f t="shared" si="24"/>
      </c>
      <c r="AB59" s="203" t="b">
        <f t="shared" si="22"/>
        <v>0</v>
      </c>
      <c r="AC59" s="156">
        <f t="shared" si="25"/>
      </c>
      <c r="AD59" s="109">
        <f t="shared" si="23"/>
      </c>
    </row>
    <row r="60" spans="1:30" ht="21.75" customHeight="1">
      <c r="A60" s="331"/>
      <c r="B60" s="55" t="s">
        <v>62</v>
      </c>
      <c r="C60" s="106"/>
      <c r="D60" s="134"/>
      <c r="E60" s="108"/>
      <c r="F60" s="107"/>
      <c r="G60" s="236">
        <v>12</v>
      </c>
      <c r="H60" s="237"/>
      <c r="I60" s="234"/>
      <c r="J60" s="3" t="b">
        <v>0</v>
      </c>
      <c r="K60" s="40">
        <f t="shared" si="13"/>
      </c>
      <c r="L60" s="238"/>
      <c r="M60" s="58">
        <v>1</v>
      </c>
      <c r="N60" s="47" t="b">
        <v>0</v>
      </c>
      <c r="O60" s="20">
        <f t="shared" si="14"/>
        <v>0</v>
      </c>
      <c r="P60" s="22">
        <f t="shared" si="15"/>
        <v>0</v>
      </c>
      <c r="Q60" s="190">
        <f>IF(U60,"SCEGLIERE!",IF(OR(X60,W60,V60),"ANNO ?",IF(S60&lt;&gt;"","ANTICIPO","")))</f>
      </c>
      <c r="R60" s="155"/>
      <c r="S60" s="56">
        <f t="shared" si="16"/>
      </c>
      <c r="T60" s="202"/>
      <c r="U60" s="202" t="b">
        <f t="shared" si="17"/>
        <v>0</v>
      </c>
      <c r="V60" s="202" t="b">
        <f t="shared" si="18"/>
        <v>0</v>
      </c>
      <c r="W60" s="202" t="b">
        <f t="shared" si="19"/>
        <v>0</v>
      </c>
      <c r="X60" s="202" t="b">
        <f t="shared" si="20"/>
        <v>0</v>
      </c>
      <c r="Y60" s="56">
        <f t="shared" si="21"/>
      </c>
      <c r="Z60" s="203" t="b">
        <f t="shared" si="26"/>
        <v>0</v>
      </c>
      <c r="AA60" s="194">
        <f t="shared" si="24"/>
      </c>
      <c r="AB60" s="203" t="b">
        <f t="shared" si="22"/>
        <v>0</v>
      </c>
      <c r="AC60" s="156">
        <f t="shared" si="25"/>
      </c>
      <c r="AD60" s="109">
        <f t="shared" si="23"/>
      </c>
    </row>
    <row r="61" spans="1:30" ht="21.75" customHeight="1">
      <c r="A61" s="331"/>
      <c r="B61" s="55" t="s">
        <v>77</v>
      </c>
      <c r="C61" s="106"/>
      <c r="D61" s="134"/>
      <c r="E61" s="108"/>
      <c r="F61" s="107"/>
      <c r="G61" s="236">
        <v>6</v>
      </c>
      <c r="H61" s="237"/>
      <c r="I61" s="234"/>
      <c r="J61" s="3" t="b">
        <v>0</v>
      </c>
      <c r="K61" s="40">
        <f t="shared" si="13"/>
      </c>
      <c r="L61" s="238"/>
      <c r="M61" s="58">
        <v>1</v>
      </c>
      <c r="N61" s="47" t="b">
        <v>0</v>
      </c>
      <c r="O61" s="20">
        <f t="shared" si="14"/>
        <v>0</v>
      </c>
      <c r="P61" s="22">
        <f t="shared" si="15"/>
        <v>0</v>
      </c>
      <c r="Q61" s="190">
        <f>IF(AND(J61=TRUE,$G$15=3),"GIÀ SCELTO!",IF(U61,"SCEGLIERE!",IF(OR(X61,W61,V61),"ANNO ?",IF(S61&lt;&gt;"","ANTICIPO",""))))</f>
      </c>
      <c r="R61" s="155"/>
      <c r="S61" s="56">
        <f t="shared" si="16"/>
      </c>
      <c r="T61" s="202"/>
      <c r="U61" s="202" t="b">
        <f t="shared" si="17"/>
        <v>0</v>
      </c>
      <c r="V61" s="202" t="b">
        <f t="shared" si="18"/>
        <v>0</v>
      </c>
      <c r="W61" s="202" t="b">
        <f t="shared" si="19"/>
        <v>0</v>
      </c>
      <c r="X61" s="202" t="b">
        <f t="shared" si="20"/>
        <v>0</v>
      </c>
      <c r="Y61" s="56">
        <f t="shared" si="21"/>
      </c>
      <c r="Z61" s="203" t="b">
        <f t="shared" si="26"/>
        <v>0</v>
      </c>
      <c r="AA61" s="194">
        <f t="shared" si="24"/>
      </c>
      <c r="AB61" s="203" t="b">
        <f t="shared" si="22"/>
        <v>0</v>
      </c>
      <c r="AC61" s="156">
        <f t="shared" si="25"/>
      </c>
      <c r="AD61" s="109">
        <f t="shared" si="23"/>
      </c>
    </row>
    <row r="62" spans="1:30" ht="21.75" customHeight="1">
      <c r="A62" s="331"/>
      <c r="B62" s="55" t="s">
        <v>58</v>
      </c>
      <c r="C62" s="106"/>
      <c r="D62" s="134"/>
      <c r="E62" s="108"/>
      <c r="F62" s="107"/>
      <c r="G62" s="236">
        <v>6</v>
      </c>
      <c r="H62" s="237"/>
      <c r="I62" s="234"/>
      <c r="J62" s="3" t="b">
        <v>0</v>
      </c>
      <c r="K62" s="40">
        <f t="shared" si="13"/>
      </c>
      <c r="L62" s="238"/>
      <c r="M62" s="58">
        <v>2</v>
      </c>
      <c r="N62" s="47" t="b">
        <v>0</v>
      </c>
      <c r="O62" s="20">
        <f t="shared" si="14"/>
        <v>0</v>
      </c>
      <c r="P62" s="22">
        <f t="shared" si="15"/>
        <v>0</v>
      </c>
      <c r="Q62" s="190">
        <f>IF(U62,"SCEGLIERE!",IF(OR(X62,W62,V62),"ANNO ?",IF(S62&lt;&gt;"","ANTICIPO","")))</f>
      </c>
      <c r="R62" s="155"/>
      <c r="S62" s="56">
        <f t="shared" si="16"/>
      </c>
      <c r="T62" s="202"/>
      <c r="U62" s="202" t="b">
        <f t="shared" si="17"/>
        <v>0</v>
      </c>
      <c r="V62" s="202" t="b">
        <f t="shared" si="18"/>
        <v>0</v>
      </c>
      <c r="W62" s="202" t="b">
        <f t="shared" si="19"/>
        <v>0</v>
      </c>
      <c r="X62" s="202" t="b">
        <f t="shared" si="20"/>
        <v>0</v>
      </c>
      <c r="Y62" s="56">
        <f t="shared" si="21"/>
      </c>
      <c r="Z62" s="203" t="b">
        <f t="shared" si="26"/>
        <v>0</v>
      </c>
      <c r="AA62" s="194">
        <f t="shared" si="24"/>
      </c>
      <c r="AB62" s="203" t="b">
        <f t="shared" si="22"/>
        <v>0</v>
      </c>
      <c r="AC62" s="156">
        <f t="shared" si="25"/>
      </c>
      <c r="AD62" s="109">
        <f t="shared" si="23"/>
      </c>
    </row>
    <row r="63" spans="1:30" ht="21.75" customHeight="1">
      <c r="A63" s="331"/>
      <c r="B63" s="55" t="s">
        <v>78</v>
      </c>
      <c r="C63" s="106"/>
      <c r="D63" s="134"/>
      <c r="E63" s="108"/>
      <c r="F63" s="107"/>
      <c r="G63" s="236">
        <v>6</v>
      </c>
      <c r="H63" s="237"/>
      <c r="I63" s="234"/>
      <c r="J63" s="3" t="b">
        <v>0</v>
      </c>
      <c r="K63" s="40">
        <f t="shared" si="13"/>
      </c>
      <c r="L63" s="238"/>
      <c r="M63" s="58">
        <v>1</v>
      </c>
      <c r="N63" s="47" t="b">
        <v>0</v>
      </c>
      <c r="O63" s="20">
        <f t="shared" si="14"/>
        <v>0</v>
      </c>
      <c r="P63" s="22">
        <f t="shared" si="15"/>
        <v>0</v>
      </c>
      <c r="Q63" s="190">
        <f>IF(AND(J63=TRUE,$G$15=4),"GIÀ SCELTO!",IF(U63,"SCEGLIERE!",IF(OR(X63,W63,V63),"ANNO ?",IF(S63&lt;&gt;"","ANTICIPO",""))))</f>
      </c>
      <c r="R63" s="155"/>
      <c r="S63" s="56">
        <f t="shared" si="16"/>
      </c>
      <c r="T63" s="202"/>
      <c r="U63" s="202" t="b">
        <f t="shared" si="17"/>
        <v>0</v>
      </c>
      <c r="V63" s="202" t="b">
        <f t="shared" si="18"/>
        <v>0</v>
      </c>
      <c r="W63" s="202" t="b">
        <f t="shared" si="19"/>
        <v>0</v>
      </c>
      <c r="X63" s="202" t="b">
        <f t="shared" si="20"/>
        <v>0</v>
      </c>
      <c r="Y63" s="56">
        <f t="shared" si="21"/>
      </c>
      <c r="Z63" s="203" t="b">
        <f t="shared" si="26"/>
        <v>0</v>
      </c>
      <c r="AA63" s="194">
        <f t="shared" si="24"/>
      </c>
      <c r="AB63" s="203" t="b">
        <f t="shared" si="22"/>
        <v>0</v>
      </c>
      <c r="AC63" s="156">
        <f t="shared" si="25"/>
      </c>
      <c r="AD63" s="109">
        <f t="shared" si="23"/>
      </c>
    </row>
    <row r="64" spans="1:30" ht="21.75" customHeight="1">
      <c r="A64" s="331"/>
      <c r="B64" s="55" t="s">
        <v>85</v>
      </c>
      <c r="C64" s="106"/>
      <c r="D64" s="134"/>
      <c r="E64" s="108"/>
      <c r="F64" s="107"/>
      <c r="G64" s="236">
        <v>6</v>
      </c>
      <c r="H64" s="237"/>
      <c r="I64" s="234"/>
      <c r="J64" s="3" t="b">
        <v>0</v>
      </c>
      <c r="K64" s="40">
        <f t="shared" si="13"/>
      </c>
      <c r="L64" s="238"/>
      <c r="M64" s="58">
        <v>1</v>
      </c>
      <c r="N64" s="47" t="b">
        <v>0</v>
      </c>
      <c r="O64" s="20">
        <f t="shared" si="14"/>
        <v>0</v>
      </c>
      <c r="P64" s="22">
        <f t="shared" si="15"/>
        <v>0</v>
      </c>
      <c r="Q64" s="190">
        <f>IF(U64,"SCEGLIERE!",IF(OR(X64,W64,V64),"ANNO ?",IF(S64&lt;&gt;"","ANTICIPO","")))</f>
      </c>
      <c r="R64" s="155"/>
      <c r="S64" s="56">
        <f t="shared" si="16"/>
      </c>
      <c r="T64" s="202"/>
      <c r="U64" s="202" t="b">
        <f t="shared" si="17"/>
        <v>0</v>
      </c>
      <c r="V64" s="202" t="b">
        <f t="shared" si="18"/>
        <v>0</v>
      </c>
      <c r="W64" s="202" t="b">
        <f t="shared" si="19"/>
        <v>0</v>
      </c>
      <c r="X64" s="202" t="b">
        <f t="shared" si="20"/>
        <v>0</v>
      </c>
      <c r="Y64" s="56">
        <f t="shared" si="21"/>
      </c>
      <c r="Z64" s="203" t="b">
        <f>AND(N64,X64=FALSE,L64&lt;$L$6,L64&lt;M64)</f>
        <v>0</v>
      </c>
      <c r="AA64" s="194">
        <f>IF(Z64,1,"")</f>
      </c>
      <c r="AB64" s="203" t="b">
        <f t="shared" si="22"/>
        <v>0</v>
      </c>
      <c r="AC64" s="156">
        <f>IF(AB64,"NON CONSENTITO","")</f>
      </c>
      <c r="AD64" s="109">
        <f t="shared" si="23"/>
      </c>
    </row>
    <row r="65" spans="1:30" ht="21.75" customHeight="1">
      <c r="A65" s="331"/>
      <c r="B65" s="55" t="s">
        <v>94</v>
      </c>
      <c r="C65" s="106"/>
      <c r="D65" s="134"/>
      <c r="E65" s="108"/>
      <c r="F65" s="107"/>
      <c r="G65" s="236">
        <v>6</v>
      </c>
      <c r="H65" s="237"/>
      <c r="I65" s="234"/>
      <c r="J65" s="3" t="b">
        <v>0</v>
      </c>
      <c r="K65" s="40">
        <f t="shared" si="13"/>
      </c>
      <c r="L65" s="238"/>
      <c r="M65" s="58">
        <v>1</v>
      </c>
      <c r="N65" s="47" t="b">
        <v>0</v>
      </c>
      <c r="O65" s="20">
        <f t="shared" si="14"/>
        <v>0</v>
      </c>
      <c r="P65" s="22">
        <f t="shared" si="15"/>
        <v>0</v>
      </c>
      <c r="Q65" s="190">
        <f>IF(U65,"SCEGLIERE!",IF(OR(X65,W65,V65),"ANNO ?",IF(S65&lt;&gt;"","ANTICIPO","")))</f>
      </c>
      <c r="R65" s="155"/>
      <c r="S65" s="56">
        <f t="shared" si="16"/>
      </c>
      <c r="T65" s="202"/>
      <c r="U65" s="202" t="b">
        <f t="shared" si="17"/>
        <v>0</v>
      </c>
      <c r="V65" s="202" t="b">
        <f t="shared" si="18"/>
        <v>0</v>
      </c>
      <c r="W65" s="202" t="b">
        <f t="shared" si="19"/>
        <v>0</v>
      </c>
      <c r="X65" s="202" t="b">
        <f t="shared" si="20"/>
        <v>0</v>
      </c>
      <c r="Y65" s="56">
        <f t="shared" si="21"/>
      </c>
      <c r="Z65" s="203" t="b">
        <f t="shared" si="26"/>
        <v>0</v>
      </c>
      <c r="AA65" s="194">
        <f>IF(Z65,1,"")</f>
      </c>
      <c r="AB65" s="203" t="b">
        <f t="shared" si="22"/>
        <v>0</v>
      </c>
      <c r="AC65" s="156">
        <f>IF(AB65,"NON CONSENTITO","")</f>
      </c>
      <c r="AD65" s="109">
        <f t="shared" si="23"/>
      </c>
    </row>
    <row r="66" spans="1:30" ht="21.75" customHeight="1">
      <c r="A66" s="331"/>
      <c r="B66" s="55" t="s">
        <v>66</v>
      </c>
      <c r="C66" s="106"/>
      <c r="D66" s="134"/>
      <c r="E66" s="108"/>
      <c r="F66" s="107"/>
      <c r="G66" s="236">
        <v>6</v>
      </c>
      <c r="H66" s="237"/>
      <c r="I66" s="234"/>
      <c r="J66" s="3" t="b">
        <v>0</v>
      </c>
      <c r="K66" s="40">
        <f t="shared" si="13"/>
      </c>
      <c r="L66" s="238"/>
      <c r="M66" s="58">
        <v>2</v>
      </c>
      <c r="N66" s="47" t="b">
        <v>0</v>
      </c>
      <c r="O66" s="20">
        <f t="shared" si="14"/>
        <v>0</v>
      </c>
      <c r="P66" s="22">
        <f t="shared" si="15"/>
        <v>0</v>
      </c>
      <c r="Q66" s="190">
        <f>IF(U66,"SCEGLIERE!",IF(OR(X66,W66,V66),"ANNO ?",IF(S66&lt;&gt;"","ANTICIPO","")))</f>
      </c>
      <c r="R66" s="155"/>
      <c r="S66" s="56">
        <f t="shared" si="16"/>
      </c>
      <c r="T66" s="202"/>
      <c r="U66" s="202" t="b">
        <f>IF(AND(N66,J66=FALSE),TRUE,FALSE)</f>
        <v>0</v>
      </c>
      <c r="V66" s="202" t="b">
        <f>IF(AND(J66,N66=FALSE,L66&lt;$L$6),TRUE,FALSE)</f>
        <v>0</v>
      </c>
      <c r="W66" s="202" t="b">
        <f t="shared" si="19"/>
        <v>0</v>
      </c>
      <c r="X66" s="202" t="b">
        <f t="shared" si="20"/>
        <v>0</v>
      </c>
      <c r="Y66" s="56">
        <f t="shared" si="21"/>
      </c>
      <c r="Z66" s="203" t="b">
        <f>AND(N66,X66=FALSE,L66&lt;$L$6,L66&lt;M66)</f>
        <v>0</v>
      </c>
      <c r="AA66" s="194">
        <f>IF(Z66,1,"")</f>
      </c>
      <c r="AB66" s="203" t="b">
        <f t="shared" si="22"/>
        <v>0</v>
      </c>
      <c r="AC66" s="156">
        <f>IF(AB66,"NON CONSENTITO","")</f>
      </c>
      <c r="AD66" s="109">
        <f t="shared" si="23"/>
      </c>
    </row>
    <row r="67" spans="1:30" ht="21.75" customHeight="1">
      <c r="A67" s="331"/>
      <c r="B67" s="55" t="s">
        <v>95</v>
      </c>
      <c r="C67" s="106"/>
      <c r="D67" s="134"/>
      <c r="E67" s="108"/>
      <c r="F67" s="107"/>
      <c r="G67" s="236">
        <v>6</v>
      </c>
      <c r="H67" s="237"/>
      <c r="I67" s="234"/>
      <c r="J67" s="3" t="b">
        <v>0</v>
      </c>
      <c r="K67" s="40">
        <f t="shared" si="13"/>
      </c>
      <c r="L67" s="238"/>
      <c r="M67" s="58">
        <v>2</v>
      </c>
      <c r="N67" s="47" t="b">
        <v>0</v>
      </c>
      <c r="O67" s="20">
        <f t="shared" si="14"/>
        <v>0</v>
      </c>
      <c r="P67" s="22">
        <f t="shared" si="15"/>
        <v>0</v>
      </c>
      <c r="Q67" s="190">
        <f>IF(U67,"SCEGLIERE!",IF(OR(X67,W67,V67),"ANNO ?",IF(S67&lt;&gt;"","ANTICIPO","")))</f>
      </c>
      <c r="R67" s="155"/>
      <c r="S67" s="56">
        <f t="shared" si="16"/>
      </c>
      <c r="T67" s="202"/>
      <c r="U67" s="202" t="b">
        <f t="shared" si="17"/>
        <v>0</v>
      </c>
      <c r="V67" s="202" t="b">
        <f t="shared" si="18"/>
        <v>0</v>
      </c>
      <c r="W67" s="202" t="b">
        <f t="shared" si="19"/>
        <v>0</v>
      </c>
      <c r="X67" s="202" t="b">
        <f t="shared" si="20"/>
        <v>0</v>
      </c>
      <c r="Y67" s="56">
        <f t="shared" si="21"/>
      </c>
      <c r="Z67" s="203" t="b">
        <f>AND(N67,X67=FALSE,L67&lt;$L$6,L67&lt;M67)</f>
        <v>0</v>
      </c>
      <c r="AA67" s="194">
        <f>IF(Z67,1,"")</f>
      </c>
      <c r="AB67" s="203" t="b">
        <f t="shared" si="22"/>
        <v>0</v>
      </c>
      <c r="AC67" s="156">
        <f>IF(AB67,"NON CONSENTITO","")</f>
      </c>
      <c r="AD67" s="109">
        <f t="shared" si="23"/>
      </c>
    </row>
    <row r="68" spans="1:30" ht="21.75" customHeight="1">
      <c r="A68" s="331"/>
      <c r="B68" s="55" t="s">
        <v>86</v>
      </c>
      <c r="C68" s="106"/>
      <c r="D68" s="134"/>
      <c r="E68" s="108"/>
      <c r="F68" s="107"/>
      <c r="G68" s="236">
        <v>6</v>
      </c>
      <c r="H68" s="237"/>
      <c r="I68" s="234"/>
      <c r="J68" s="3" t="b">
        <v>0</v>
      </c>
      <c r="K68" s="40">
        <f t="shared" si="13"/>
      </c>
      <c r="L68" s="238"/>
      <c r="M68" s="58">
        <v>2</v>
      </c>
      <c r="N68" s="47" t="b">
        <v>0</v>
      </c>
      <c r="O68" s="20">
        <f t="shared" si="14"/>
        <v>0</v>
      </c>
      <c r="P68" s="22">
        <f t="shared" si="15"/>
        <v>0</v>
      </c>
      <c r="Q68" s="190">
        <f>IF(AND(J68=TRUE,$G$19=2),"GIÀ SCELTO!",IF(U68,"SCEGLIERE!",IF(OR(X68,W68,V68),"ANNO ?",IF(S68&lt;&gt;"","ANTICIPO",""))))</f>
      </c>
      <c r="R68" s="155"/>
      <c r="S68" s="56">
        <f t="shared" si="16"/>
      </c>
      <c r="T68" s="202"/>
      <c r="U68" s="202" t="b">
        <f t="shared" si="17"/>
        <v>0</v>
      </c>
      <c r="V68" s="202" t="b">
        <f t="shared" si="18"/>
        <v>0</v>
      </c>
      <c r="W68" s="202" t="b">
        <f t="shared" si="19"/>
        <v>0</v>
      </c>
      <c r="X68" s="202" t="b">
        <f t="shared" si="20"/>
        <v>0</v>
      </c>
      <c r="Y68" s="56">
        <f t="shared" si="21"/>
      </c>
      <c r="Z68" s="203" t="b">
        <f t="shared" si="26"/>
        <v>0</v>
      </c>
      <c r="AA68" s="194">
        <f>IF(Z68,1,"")</f>
      </c>
      <c r="AB68" s="203" t="b">
        <f t="shared" si="22"/>
        <v>0</v>
      </c>
      <c r="AC68" s="156">
        <f>IF(AB68,"NON CONSENTITO","")</f>
      </c>
      <c r="AD68" s="109">
        <f t="shared" si="23"/>
      </c>
    </row>
    <row r="69" spans="1:30" ht="15.75" customHeight="1">
      <c r="A69" s="331"/>
      <c r="B69" s="187" t="s">
        <v>75</v>
      </c>
      <c r="C69" s="106"/>
      <c r="D69" s="106"/>
      <c r="E69" s="188"/>
      <c r="F69" s="107"/>
      <c r="G69" s="106"/>
      <c r="H69" s="205"/>
      <c r="I69" s="108"/>
      <c r="J69" s="3"/>
      <c r="K69" s="40"/>
      <c r="L69" s="26"/>
      <c r="M69" s="58"/>
      <c r="N69" s="47"/>
      <c r="O69" s="20"/>
      <c r="P69" s="22"/>
      <c r="Q69" s="190"/>
      <c r="R69" s="155"/>
      <c r="S69" s="56"/>
      <c r="T69" s="202"/>
      <c r="U69" s="202"/>
      <c r="V69" s="202"/>
      <c r="W69" s="202"/>
      <c r="X69" s="202"/>
      <c r="Y69" s="56"/>
      <c r="Z69" s="203"/>
      <c r="AA69" s="194"/>
      <c r="AB69" s="204"/>
      <c r="AC69" s="156"/>
      <c r="AD69" s="109"/>
    </row>
    <row r="70" spans="1:30" ht="21.75" customHeight="1">
      <c r="A70" s="331"/>
      <c r="B70" s="299"/>
      <c r="C70" s="300"/>
      <c r="D70" s="300"/>
      <c r="E70" s="301"/>
      <c r="F70" s="107"/>
      <c r="G70" s="233"/>
      <c r="H70" s="237"/>
      <c r="I70" s="234"/>
      <c r="J70" s="182" t="b">
        <v>0</v>
      </c>
      <c r="K70" s="235"/>
      <c r="L70" s="238"/>
      <c r="M70" s="58"/>
      <c r="N70" s="47" t="b">
        <v>0</v>
      </c>
      <c r="O70" s="20">
        <f>IF(AND(OR(J70=TRUE,N70=TRUE),L70=1),IF(K70="",0,K70),0)</f>
        <v>0</v>
      </c>
      <c r="P70" s="22">
        <f>IF(AND(OR(J70=TRUE,N70=TRUE),L70=2),IF(K70="",0,K70),0)</f>
        <v>0</v>
      </c>
      <c r="Q70" s="190">
        <f>IF(U70,"SCEGLIERE!",IF(OR(X70,W70,V70),"ANNO ?",""))</f>
      </c>
      <c r="R70" s="152">
        <f>IF(T70,"CFU ?","")</f>
      </c>
      <c r="S70" s="56"/>
      <c r="T70" s="202" t="b">
        <f>IF(AND(J70,OR(K70&lt;1,K70&gt;12)),TRUE,FALSE)</f>
        <v>0</v>
      </c>
      <c r="U70" s="202" t="b">
        <f>IF(AND(N70,J70=FALSE),TRUE,FALSE)</f>
        <v>0</v>
      </c>
      <c r="V70" s="202" t="b">
        <f>IF(AND(J70,N70=FALSE,L70&lt;$L$6),TRUE,FALSE)</f>
        <v>0</v>
      </c>
      <c r="W70" s="202" t="b">
        <f>IF(AND(N70,L70&gt;$L$6-$S$6+1),TRUE,FALSE)</f>
        <v>0</v>
      </c>
      <c r="X70" s="202" t="b">
        <f>IF(OR(AND(J70=FALSE,N70=FALSE),AND(L70&lt;3,L70&gt;0)),FALSE,TRUE)</f>
        <v>0</v>
      </c>
      <c r="Y70" s="56"/>
      <c r="Z70" s="203" t="b">
        <f t="shared" si="26"/>
        <v>0</v>
      </c>
      <c r="AA70" s="194">
        <f>IF(Z70,1,"")</f>
      </c>
      <c r="AB70" s="203"/>
      <c r="AC70" s="156"/>
      <c r="AD70" s="109">
        <f>IF(AND(N70,X70=FALSE,L70=$L$6,$S$6=1),K70,"")</f>
      </c>
    </row>
    <row r="71" spans="1:30" ht="21.75" customHeight="1" thickBot="1">
      <c r="A71" s="332"/>
      <c r="B71" s="299"/>
      <c r="C71" s="300"/>
      <c r="D71" s="300"/>
      <c r="E71" s="301"/>
      <c r="F71" s="107"/>
      <c r="G71" s="233"/>
      <c r="H71" s="237"/>
      <c r="I71" s="234"/>
      <c r="J71" s="182" t="b">
        <v>0</v>
      </c>
      <c r="K71" s="235"/>
      <c r="L71" s="238"/>
      <c r="M71" s="58"/>
      <c r="N71" s="47" t="b">
        <v>0</v>
      </c>
      <c r="O71" s="23">
        <f>IF(AND(OR(J71=TRUE,N71=TRUE),L71=1),IF(K71="",0,K71),0)</f>
        <v>0</v>
      </c>
      <c r="P71" s="25">
        <f>IF(AND(OR(J71=TRUE,N71=TRUE),L71=2),IF(K71="",0,K71),0)</f>
        <v>0</v>
      </c>
      <c r="Q71" s="190">
        <f>IF(U71,"SCEGLIERE!",IF(OR(X71,W71,V71),"ANNO ?",""))</f>
      </c>
      <c r="R71" s="152">
        <f>IF(T71,"CFU ?","")</f>
      </c>
      <c r="S71" s="56"/>
      <c r="T71" s="202" t="b">
        <f>IF(AND(J71,OR(K71&lt;1,K71&gt;12)),TRUE,FALSE)</f>
        <v>0</v>
      </c>
      <c r="U71" s="202" t="b">
        <f>IF(AND(N71,J71=FALSE),TRUE,FALSE)</f>
        <v>0</v>
      </c>
      <c r="V71" s="202" t="b">
        <f>IF(AND(J71,N71=FALSE,L71&lt;$L$6),TRUE,FALSE)</f>
        <v>0</v>
      </c>
      <c r="W71" s="202" t="b">
        <f>IF(AND(N71,L71&gt;$L$6-$S$6+1),TRUE,FALSE)</f>
        <v>0</v>
      </c>
      <c r="X71" s="202" t="b">
        <f>IF(OR(AND(J71=FALSE,N71=FALSE),AND(L71&lt;3,L71&gt;0)),FALSE,TRUE)</f>
        <v>0</v>
      </c>
      <c r="Y71" s="56"/>
      <c r="Z71" s="203" t="b">
        <f t="shared" si="26"/>
        <v>0</v>
      </c>
      <c r="AA71" s="194">
        <f>IF(Z71,1,"")</f>
      </c>
      <c r="AB71" s="203"/>
      <c r="AC71" s="156"/>
      <c r="AD71" s="109">
        <f>IF(AND(N71,X71=FALSE,L71=$L$6,$S$6=1),K71,"")</f>
      </c>
    </row>
    <row r="72" spans="1:29" ht="12" customHeight="1" thickBot="1">
      <c r="A72" s="135"/>
      <c r="B72" s="136"/>
      <c r="C72" s="136"/>
      <c r="D72" s="136"/>
      <c r="E72" s="136"/>
      <c r="F72" s="12"/>
      <c r="G72" s="12"/>
      <c r="H72" s="12"/>
      <c r="I72" s="113"/>
      <c r="J72" s="3"/>
      <c r="K72" s="109"/>
      <c r="L72" s="109"/>
      <c r="M72" s="46"/>
      <c r="N72" s="47"/>
      <c r="O72" s="21"/>
      <c r="P72" s="21"/>
      <c r="R72" s="110"/>
      <c r="S72" s="67"/>
      <c r="T72" s="69"/>
      <c r="U72" s="69"/>
      <c r="V72" s="69"/>
      <c r="W72" s="69"/>
      <c r="Y72" s="67"/>
      <c r="Z72" s="36"/>
      <c r="AA72" s="195"/>
      <c r="AC72" s="104"/>
    </row>
    <row r="73" spans="1:30" ht="15" customHeight="1" thickBot="1">
      <c r="A73" s="137" t="s">
        <v>73</v>
      </c>
      <c r="I73" s="266" t="s">
        <v>1</v>
      </c>
      <c r="J73" s="267"/>
      <c r="K73" s="272">
        <f>SUM(K42:K69)+IF(OR(J70=TRUE,N70=TRUE),K70,0)+IF(OR(J71=TRUE,N71=TRUE),K71,0)</f>
        <v>0</v>
      </c>
      <c r="L73" s="199" t="str">
        <f>IF(AND(K73&gt;=12,K73&lt;=15),"SI","NO")</f>
        <v>NO</v>
      </c>
      <c r="M73" s="273"/>
      <c r="N73" s="47"/>
      <c r="O73" s="16">
        <f>SUM(O42:O71)</f>
        <v>0</v>
      </c>
      <c r="P73" s="17">
        <f>SUM(P42:P71)</f>
        <v>0</v>
      </c>
      <c r="Q73" s="274">
        <f>IF(OR(U42:X69,T71:X71),"ANNI, SCEGLI o CFU ?","")</f>
      </c>
      <c r="R73" s="152"/>
      <c r="S73" s="149"/>
      <c r="T73" s="212"/>
      <c r="U73" s="212"/>
      <c r="V73" s="212"/>
      <c r="W73" s="212"/>
      <c r="X73" s="111"/>
      <c r="Y73" s="149"/>
      <c r="Z73" s="36"/>
      <c r="AA73" s="198"/>
      <c r="AB73" s="36"/>
      <c r="AC73" s="275">
        <f>IF(OR(AB42:AB68),"Ant. N.C.","")</f>
      </c>
      <c r="AD73" s="271">
        <f>SUM(AD42:AD71)</f>
        <v>0</v>
      </c>
    </row>
    <row r="74" spans="1:29" ht="14.25" thickBot="1">
      <c r="A74" s="137" t="s">
        <v>98</v>
      </c>
      <c r="D74" s="94"/>
      <c r="J74" s="171"/>
      <c r="K74" s="109"/>
      <c r="L74" s="138"/>
      <c r="M74" s="46"/>
      <c r="N74" s="4"/>
      <c r="O74" s="28"/>
      <c r="P74" s="28"/>
      <c r="AC74" s="342" t="s">
        <v>61</v>
      </c>
    </row>
    <row r="75" spans="1:29" ht="14.25" thickBot="1">
      <c r="A75" s="137"/>
      <c r="H75" s="276" t="s">
        <v>36</v>
      </c>
      <c r="I75" s="277" t="s">
        <v>2</v>
      </c>
      <c r="J75" s="278"/>
      <c r="K75" s="139">
        <f>SUM(K36,K73)</f>
        <v>108</v>
      </c>
      <c r="L75" s="138"/>
      <c r="M75" s="273"/>
      <c r="N75" s="4"/>
      <c r="O75" s="31">
        <f>SUM(O36,O73,O92)</f>
        <v>0</v>
      </c>
      <c r="P75" s="32">
        <f>SUM(P36,P73,P92)</f>
        <v>12</v>
      </c>
      <c r="Q75" s="346" t="s">
        <v>47</v>
      </c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C75" s="343"/>
    </row>
    <row r="76" spans="1:29" ht="14.25" thickBot="1">
      <c r="A76" s="137"/>
      <c r="H76" s="138"/>
      <c r="I76" s="138"/>
      <c r="J76" s="174"/>
      <c r="K76" s="199" t="str">
        <f>IF(AND(K75&gt;=120,K75&lt;=123),"SI","NO")</f>
        <v>NO</v>
      </c>
      <c r="L76" s="120"/>
      <c r="M76" s="273"/>
      <c r="N76" s="179"/>
      <c r="O76" s="200" t="str">
        <f>IF(OR(Q6&gt;1,O75-IF(Q6=1,AC76,0)&lt;=O77),"SI","NO")</f>
        <v>SI</v>
      </c>
      <c r="P76" s="201" t="str">
        <f>IF(P75-K34-IF(Q6=2,AC76,0)&lt;=P77,"SI","NO")</f>
        <v>SI</v>
      </c>
      <c r="Q76" s="348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6"/>
      <c r="AC76" s="140">
        <f>SUM(AD92,AD73,AD36)</f>
        <v>0</v>
      </c>
    </row>
    <row r="77" spans="10:29" ht="6" customHeight="1">
      <c r="J77" s="171"/>
      <c r="K77" s="82"/>
      <c r="L77" s="120"/>
      <c r="M77" s="46"/>
      <c r="N77" s="179"/>
      <c r="O77" s="59">
        <f>IF(L6=1,S79,S79)</f>
        <v>120</v>
      </c>
      <c r="P77" s="59">
        <f>IF(L6=2,S79,S79)</f>
        <v>120</v>
      </c>
      <c r="Q77" s="141"/>
      <c r="R77" s="142"/>
      <c r="S77" s="143"/>
      <c r="T77" s="211"/>
      <c r="U77" s="211"/>
      <c r="V77" s="211"/>
      <c r="W77" s="211"/>
      <c r="X77" s="144"/>
      <c r="Y77" s="143"/>
      <c r="Z77" s="145"/>
      <c r="AA77" s="197"/>
      <c r="AB77" s="145"/>
      <c r="AC77" s="146"/>
    </row>
    <row r="78" spans="10:29" ht="6" customHeight="1" thickBot="1">
      <c r="J78" s="171"/>
      <c r="K78" s="82"/>
      <c r="L78" s="120"/>
      <c r="M78" s="46"/>
      <c r="N78" s="179"/>
      <c r="O78" s="5"/>
      <c r="P78" s="5"/>
      <c r="Q78" s="147"/>
      <c r="R78" s="148"/>
      <c r="S78" s="149"/>
      <c r="T78" s="212"/>
      <c r="U78" s="212"/>
      <c r="V78" s="212"/>
      <c r="W78" s="212"/>
      <c r="X78" s="111"/>
      <c r="Y78" s="149"/>
      <c r="Z78" s="36"/>
      <c r="AA78" s="198"/>
      <c r="AB78" s="36"/>
      <c r="AC78" s="146"/>
    </row>
    <row r="79" spans="10:30" ht="13.5" thickBot="1">
      <c r="J79" s="171"/>
      <c r="K79" s="82"/>
      <c r="L79" s="120"/>
      <c r="M79" s="46"/>
      <c r="N79" s="179"/>
      <c r="O79" s="220" t="s">
        <v>48</v>
      </c>
      <c r="P79" s="150">
        <f>SUM(Y14:Y34,Y42:Y71)</f>
        <v>0</v>
      </c>
      <c r="Q79" s="151" t="str">
        <f>IF(P80&lt;=Y8,"OK","TROPPI ANTICIPI")</f>
        <v>OK</v>
      </c>
      <c r="S79" s="291">
        <f>IF(P79&gt;0,120,120)</f>
        <v>120</v>
      </c>
      <c r="T79" s="213"/>
      <c r="U79" s="213"/>
      <c r="V79" s="213"/>
      <c r="W79" s="213"/>
      <c r="X79" s="206"/>
      <c r="Y79" s="292" t="s">
        <v>44</v>
      </c>
      <c r="Z79" s="149"/>
      <c r="AA79" s="153"/>
      <c r="AB79" s="70"/>
      <c r="AC79" s="153"/>
      <c r="AD79" s="104"/>
    </row>
    <row r="80" spans="10:29" ht="32.25" customHeight="1" thickBot="1">
      <c r="J80" s="171"/>
      <c r="K80" s="82"/>
      <c r="L80" s="154"/>
      <c r="M80" s="46"/>
      <c r="N80" s="180"/>
      <c r="O80" s="216" t="s">
        <v>46</v>
      </c>
      <c r="P80" s="191">
        <f>SUM(S14:S34,S42:S71)</f>
        <v>0</v>
      </c>
      <c r="Q80" s="147"/>
      <c r="R80" s="315" t="s">
        <v>33</v>
      </c>
      <c r="S80" s="316"/>
      <c r="T80" s="316"/>
      <c r="U80" s="316"/>
      <c r="V80" s="316"/>
      <c r="W80" s="316"/>
      <c r="X80" s="316"/>
      <c r="Y80" s="316"/>
      <c r="Z80" s="316"/>
      <c r="AA80" s="194">
        <f>SUM(AA14:AA71)</f>
        <v>0</v>
      </c>
      <c r="AB80" s="36"/>
      <c r="AC80" s="156"/>
    </row>
    <row r="81" spans="10:24" ht="6" customHeight="1">
      <c r="J81" s="171"/>
      <c r="K81" s="82"/>
      <c r="L81" s="120"/>
      <c r="M81" s="46"/>
      <c r="N81" s="179"/>
      <c r="O81" s="5"/>
      <c r="P81" s="5"/>
      <c r="Q81" s="85"/>
      <c r="R81" s="86"/>
      <c r="S81" s="157"/>
      <c r="T81" s="214"/>
      <c r="U81" s="214"/>
      <c r="V81" s="214"/>
      <c r="W81" s="214"/>
      <c r="X81" s="158"/>
    </row>
    <row r="82" spans="10:24" ht="9.75" customHeight="1">
      <c r="J82" s="171"/>
      <c r="K82" s="82"/>
      <c r="L82" s="120"/>
      <c r="M82" s="46"/>
      <c r="N82" s="179"/>
      <c r="O82" s="5"/>
      <c r="P82" s="5"/>
      <c r="Q82" s="85"/>
      <c r="R82" s="86"/>
      <c r="S82" s="157"/>
      <c r="T82" s="214"/>
      <c r="U82" s="214"/>
      <c r="V82" s="214"/>
      <c r="W82" s="214"/>
      <c r="X82" s="158"/>
    </row>
    <row r="83" spans="2:16" ht="14.25" customHeight="1">
      <c r="B83" s="96" t="s">
        <v>43</v>
      </c>
      <c r="C83" s="94"/>
      <c r="D83" s="94"/>
      <c r="J83" s="171"/>
      <c r="L83" s="138"/>
      <c r="M83" s="46"/>
      <c r="N83" s="4"/>
      <c r="O83" s="21"/>
      <c r="P83" s="21"/>
    </row>
    <row r="84" spans="10:16" ht="6.75" customHeight="1">
      <c r="J84" s="171"/>
      <c r="L84" s="138"/>
      <c r="M84" s="46"/>
      <c r="N84" s="4"/>
      <c r="O84" s="21"/>
      <c r="P84" s="21"/>
    </row>
    <row r="85" spans="8:16" ht="24" customHeight="1" thickBot="1">
      <c r="H85" s="61" t="s">
        <v>3</v>
      </c>
      <c r="I85" s="61" t="s">
        <v>41</v>
      </c>
      <c r="J85" s="171"/>
      <c r="K85" s="61" t="s">
        <v>1</v>
      </c>
      <c r="L85" s="159" t="s">
        <v>8</v>
      </c>
      <c r="M85" s="46"/>
      <c r="N85" s="4"/>
      <c r="O85" s="24"/>
      <c r="P85" s="24"/>
    </row>
    <row r="86" spans="1:30" ht="24" customHeight="1">
      <c r="A86" s="311" t="s">
        <v>17</v>
      </c>
      <c r="B86" s="299"/>
      <c r="C86" s="300"/>
      <c r="D86" s="300"/>
      <c r="E86" s="301"/>
      <c r="F86" s="119"/>
      <c r="G86" s="239"/>
      <c r="H86" s="240"/>
      <c r="I86" s="241"/>
      <c r="J86" s="183" t="b">
        <v>0</v>
      </c>
      <c r="K86" s="235"/>
      <c r="L86" s="235"/>
      <c r="M86" s="46"/>
      <c r="N86" s="47" t="b">
        <v>0</v>
      </c>
      <c r="O86" s="184">
        <f>IF(AND(OR(J86=TRUE,N86=TRUE),L86=1),IF(K86="",0,K86),0)</f>
        <v>0</v>
      </c>
      <c r="P86" s="185">
        <f>IF(AND(OR(J86=TRUE,N86=TRUE),L86=2),IF(K86="",0,K86),0)</f>
        <v>0</v>
      </c>
      <c r="Q86" s="190">
        <f>IF(U86,"SCEGLIERE!",IF(OR(X86,W86,V86),"ANNO ?",""))</f>
      </c>
      <c r="R86" s="152">
        <f>IF(T86,"CFU ?","")</f>
      </c>
      <c r="S86" s="56"/>
      <c r="T86" s="202" t="b">
        <f>IF(AND(J86,OR(K86&lt;1,K86&gt;12)),TRUE,FALSE)</f>
        <v>0</v>
      </c>
      <c r="U86" s="202" t="b">
        <f>IF(AND(N86,J86=FALSE),TRUE,FALSE)</f>
        <v>0</v>
      </c>
      <c r="V86" s="202" t="b">
        <f>IF(AND(J86,N86=FALSE,L86&lt;$L$6),TRUE,FALSE)</f>
        <v>0</v>
      </c>
      <c r="W86" s="202" t="b">
        <f>IF(AND(N86,L86&gt;$L$6-$S$6+1),TRUE,FALSE)</f>
        <v>0</v>
      </c>
      <c r="X86" s="202" t="b">
        <f>IF(OR(AND(J86=FALSE,N86=FALSE),AND(L86&lt;3,L86&gt;0)),FALSE,TRUE)</f>
        <v>0</v>
      </c>
      <c r="Y86" s="56"/>
      <c r="Z86" s="203" t="b">
        <f>AND(N86,X86=FALSE,L86&lt;$L$6,L86&lt;M86)</f>
        <v>0</v>
      </c>
      <c r="AA86" s="194">
        <f>IF(Z86,1,"")</f>
      </c>
      <c r="AB86" s="203"/>
      <c r="AC86" s="156"/>
      <c r="AD86" s="109">
        <f>IF(AND(N86,X86=FALSE,L86=$L$6,$S$6=1),K86,"")</f>
      </c>
    </row>
    <row r="87" spans="1:30" ht="24" customHeight="1">
      <c r="A87" s="312"/>
      <c r="B87" s="299"/>
      <c r="C87" s="300"/>
      <c r="D87" s="300"/>
      <c r="E87" s="301"/>
      <c r="F87" s="119"/>
      <c r="G87" s="239"/>
      <c r="H87" s="240"/>
      <c r="I87" s="241"/>
      <c r="J87" s="183" t="b">
        <v>0</v>
      </c>
      <c r="K87" s="235"/>
      <c r="L87" s="235"/>
      <c r="M87" s="46"/>
      <c r="N87" s="47" t="b">
        <v>0</v>
      </c>
      <c r="O87" s="20">
        <f>IF(AND(OR(J87=TRUE,N87=TRUE),L87=1),IF(K87="",0,K87),0)</f>
        <v>0</v>
      </c>
      <c r="P87" s="22">
        <f>IF(AND(OR(J87=TRUE,N87=TRUE),L87=2),IF(K87="",0,K87),0)</f>
        <v>0</v>
      </c>
      <c r="Q87" s="190">
        <f>IF(U87,"SCEGLIERE!",IF(OR(X87,W87,V87),"ANNO ?",""))</f>
      </c>
      <c r="R87" s="152">
        <f>IF(T87,"CFU ?","")</f>
      </c>
      <c r="S87" s="56"/>
      <c r="T87" s="202" t="b">
        <f>IF(AND(J87,OR(K87&lt;1,K87&gt;12)),TRUE,FALSE)</f>
        <v>0</v>
      </c>
      <c r="U87" s="202" t="b">
        <f>IF(AND(N87,J87=FALSE),TRUE,FALSE)</f>
        <v>0</v>
      </c>
      <c r="V87" s="202" t="b">
        <f>IF(AND(J87,N87=FALSE,L87&lt;$L$6),TRUE,FALSE)</f>
        <v>0</v>
      </c>
      <c r="W87" s="202" t="b">
        <f>IF(AND(N87,L87&gt;$L$6-$S$6+1),TRUE,FALSE)</f>
        <v>0</v>
      </c>
      <c r="X87" s="202" t="b">
        <f>IF(OR(AND(J87=FALSE,N87=FALSE),AND(L87&lt;3,L87&gt;0)),FALSE,TRUE)</f>
        <v>0</v>
      </c>
      <c r="Y87" s="56"/>
      <c r="Z87" s="203" t="b">
        <f>AND(N87,X87=FALSE,L87&lt;$L$6,L87&lt;M87)</f>
        <v>0</v>
      </c>
      <c r="AA87" s="194">
        <f>IF(Z87,1,"")</f>
      </c>
      <c r="AB87" s="203"/>
      <c r="AC87" s="156"/>
      <c r="AD87" s="109">
        <f>IF(AND(N87,X87=FALSE,L87=$L$6,$S$6=1),K87,"")</f>
      </c>
    </row>
    <row r="88" spans="1:30" ht="24" customHeight="1">
      <c r="A88" s="312"/>
      <c r="B88" s="299"/>
      <c r="C88" s="300"/>
      <c r="D88" s="300"/>
      <c r="E88" s="301"/>
      <c r="F88" s="119"/>
      <c r="G88" s="239"/>
      <c r="H88" s="240"/>
      <c r="I88" s="241"/>
      <c r="J88" s="183" t="b">
        <v>0</v>
      </c>
      <c r="K88" s="235"/>
      <c r="L88" s="235"/>
      <c r="M88" s="46"/>
      <c r="N88" s="47" t="b">
        <v>0</v>
      </c>
      <c r="O88" s="20">
        <f>IF(AND(OR(J88=TRUE,N88=TRUE),L88=1),IF(K88="",0,K88),0)</f>
        <v>0</v>
      </c>
      <c r="P88" s="22">
        <f>IF(AND(OR(J88=TRUE,N88=TRUE),L88=2),IF(K88="",0,K88),0)</f>
        <v>0</v>
      </c>
      <c r="Q88" s="190">
        <f>IF(U88,"SCEGLIERE!",IF(OR(X88,W88,V88),"ANNO ?",""))</f>
      </c>
      <c r="R88" s="152">
        <f>IF(T88,"CFU ?","")</f>
      </c>
      <c r="S88" s="56"/>
      <c r="T88" s="202" t="b">
        <f>IF(AND(J88,OR(K88&lt;1,K88&gt;12)),TRUE,FALSE)</f>
        <v>0</v>
      </c>
      <c r="U88" s="202" t="b">
        <f>IF(AND(N88,J88=FALSE),TRUE,FALSE)</f>
        <v>0</v>
      </c>
      <c r="V88" s="202" t="b">
        <f>IF(AND(J88,N88=FALSE,L88&lt;$L$6),TRUE,FALSE)</f>
        <v>0</v>
      </c>
      <c r="W88" s="202" t="b">
        <f>IF(AND(N88,L88&gt;$L$6-$S$6+1),TRUE,FALSE)</f>
        <v>0</v>
      </c>
      <c r="X88" s="202" t="b">
        <f>IF(OR(AND(J88=FALSE,N88=FALSE),AND(L88&lt;3,L88&gt;0)),FALSE,TRUE)</f>
        <v>0</v>
      </c>
      <c r="Y88" s="56"/>
      <c r="Z88" s="203" t="b">
        <f>AND(N88,X88=FALSE,L88&lt;$L$6,L88&lt;M88)</f>
        <v>0</v>
      </c>
      <c r="AA88" s="194">
        <f>IF(Z88,1,"")</f>
      </c>
      <c r="AB88" s="203"/>
      <c r="AC88" s="156"/>
      <c r="AD88" s="109">
        <f>IF(AND(N88,X88=FALSE,L88=$L$6,$S$6=1),K88,"")</f>
      </c>
    </row>
    <row r="89" spans="1:30" ht="24" customHeight="1">
      <c r="A89" s="312"/>
      <c r="B89" s="299"/>
      <c r="C89" s="300"/>
      <c r="D89" s="300"/>
      <c r="E89" s="301"/>
      <c r="F89" s="119"/>
      <c r="G89" s="239"/>
      <c r="H89" s="240"/>
      <c r="I89" s="241"/>
      <c r="J89" s="183" t="b">
        <v>0</v>
      </c>
      <c r="K89" s="235"/>
      <c r="L89" s="235"/>
      <c r="M89" s="46"/>
      <c r="N89" s="47" t="b">
        <v>0</v>
      </c>
      <c r="O89" s="20">
        <f>IF(AND(OR(J89=TRUE,N89=TRUE),L89=1),IF(K89="",0,K89),0)</f>
        <v>0</v>
      </c>
      <c r="P89" s="22">
        <f>IF(AND(OR(J89=TRUE,N89=TRUE),L89=2),IF(K89="",0,K89),0)</f>
        <v>0</v>
      </c>
      <c r="Q89" s="190">
        <f>IF(U89,"SCEGLIERE!",IF(OR(X89,W89,V89),"ANNO ?",""))</f>
      </c>
      <c r="R89" s="152">
        <f>IF(T89,"CFU ?","")</f>
      </c>
      <c r="S89" s="56"/>
      <c r="T89" s="202" t="b">
        <f>IF(AND(J89,OR(K89&lt;1,K89&gt;12)),TRUE,FALSE)</f>
        <v>0</v>
      </c>
      <c r="U89" s="202" t="b">
        <f>IF(AND(N89,J89=FALSE),TRUE,FALSE)</f>
        <v>0</v>
      </c>
      <c r="V89" s="202" t="b">
        <f>IF(AND(J89,N89=FALSE,L89&lt;$L$6),TRUE,FALSE)</f>
        <v>0</v>
      </c>
      <c r="W89" s="202" t="b">
        <f>IF(AND(N89,L89&gt;$L$6-$S$6+1),TRUE,FALSE)</f>
        <v>0</v>
      </c>
      <c r="X89" s="202" t="b">
        <f>IF(OR(AND(J89=FALSE,N89=FALSE),AND(L89&lt;3,L89&gt;0)),FALSE,TRUE)</f>
        <v>0</v>
      </c>
      <c r="Y89" s="56"/>
      <c r="Z89" s="203" t="b">
        <f>AND(N89,X89=FALSE,L89&lt;$L$6,L89&lt;M89)</f>
        <v>0</v>
      </c>
      <c r="AA89" s="194">
        <f>IF(Z89,1,"")</f>
      </c>
      <c r="AB89" s="203"/>
      <c r="AC89" s="156"/>
      <c r="AD89" s="109">
        <f>IF(AND(N89,X89=FALSE,L89=$L$6,$S$6=1),K89,"")</f>
      </c>
    </row>
    <row r="90" spans="1:30" ht="24" customHeight="1" thickBot="1">
      <c r="A90" s="313"/>
      <c r="B90" s="299"/>
      <c r="C90" s="300"/>
      <c r="D90" s="300"/>
      <c r="E90" s="301"/>
      <c r="F90" s="119"/>
      <c r="G90" s="239"/>
      <c r="H90" s="240"/>
      <c r="I90" s="241"/>
      <c r="J90" s="183" t="b">
        <v>0</v>
      </c>
      <c r="K90" s="235"/>
      <c r="L90" s="235"/>
      <c r="M90" s="46"/>
      <c r="N90" s="47" t="b">
        <v>0</v>
      </c>
      <c r="O90" s="23">
        <f>IF(AND(OR(J90=TRUE,N90=TRUE),L90=1),IF(K90="",0,K90),0)</f>
        <v>0</v>
      </c>
      <c r="P90" s="25">
        <f>IF(AND(OR(J90=TRUE,N90=TRUE),L90=2),IF(K90="",0,K90),0)</f>
        <v>0</v>
      </c>
      <c r="Q90" s="190">
        <f>IF(U90,"SCEGLIERE!",IF(OR(X90,W90,V90),"ANNO ?",""))</f>
      </c>
      <c r="R90" s="152">
        <f>IF(T90,"CFU ?","")</f>
      </c>
      <c r="S90" s="56"/>
      <c r="T90" s="202" t="b">
        <f>IF(AND(J90,OR(K90&lt;1,K90&gt;12)),TRUE,FALSE)</f>
        <v>0</v>
      </c>
      <c r="U90" s="202" t="b">
        <f>IF(AND(N90,J90=FALSE),TRUE,FALSE)</f>
        <v>0</v>
      </c>
      <c r="V90" s="202" t="b">
        <f>IF(AND(J90,N90=FALSE,L90&lt;$L$6),TRUE,FALSE)</f>
        <v>0</v>
      </c>
      <c r="W90" s="202" t="b">
        <f>IF(AND(N90,L90&gt;$L$6-$S$6+1),TRUE,FALSE)</f>
        <v>0</v>
      </c>
      <c r="X90" s="202" t="b">
        <f>IF(OR(AND(J90=FALSE,N90=FALSE),AND(L90&lt;3,L90&gt;0)),FALSE,TRUE)</f>
        <v>0</v>
      </c>
      <c r="Y90" s="56"/>
      <c r="Z90" s="203" t="b">
        <f>AND(N90,X90=FALSE,L90&lt;$L$6,L90&lt;M90)</f>
        <v>0</v>
      </c>
      <c r="AA90" s="194">
        <f>IF(Z90,1,"")</f>
      </c>
      <c r="AB90" s="203"/>
      <c r="AC90" s="156"/>
      <c r="AD90" s="109">
        <f>IF(AND(N90,X90=FALSE,L90=$L$6,$S$6=1),K90,"")</f>
      </c>
    </row>
    <row r="91" spans="10:16" ht="12.75">
      <c r="J91" s="174"/>
      <c r="K91" s="109"/>
      <c r="L91" s="138"/>
      <c r="M91" s="46"/>
      <c r="N91" s="4"/>
      <c r="O91" s="21"/>
      <c r="P91" s="21"/>
    </row>
    <row r="92" spans="1:30" ht="15" customHeight="1">
      <c r="A92" s="137" t="s">
        <v>73</v>
      </c>
      <c r="H92" s="138"/>
      <c r="I92" s="266" t="s">
        <v>1</v>
      </c>
      <c r="J92" s="262"/>
      <c r="K92" s="263">
        <f>SUM(K86:K90)</f>
        <v>0</v>
      </c>
      <c r="L92" s="138"/>
      <c r="M92" s="273"/>
      <c r="N92" s="47"/>
      <c r="O92" s="16">
        <f>SUM(O86:O90)</f>
        <v>0</v>
      </c>
      <c r="P92" s="17">
        <f>SUM(P86:P90)</f>
        <v>0</v>
      </c>
      <c r="Q92" s="269">
        <f>IF(OR(T86:X90),"ANNI, SCEGLI o CFU ?","")</f>
      </c>
      <c r="R92" s="152"/>
      <c r="S92" s="149"/>
      <c r="T92" s="212"/>
      <c r="U92" s="212"/>
      <c r="V92" s="212"/>
      <c r="W92" s="212"/>
      <c r="X92" s="111"/>
      <c r="Y92" s="149"/>
      <c r="Z92" s="36"/>
      <c r="AA92" s="198"/>
      <c r="AB92" s="36"/>
      <c r="AC92" s="146"/>
      <c r="AD92" s="271">
        <f>SUM(AD86:AD91)</f>
        <v>0</v>
      </c>
    </row>
    <row r="93" spans="1:30" ht="15" customHeight="1" thickBot="1">
      <c r="A93" s="137"/>
      <c r="H93" s="138"/>
      <c r="I93" s="279"/>
      <c r="J93" s="264"/>
      <c r="K93" s="265"/>
      <c r="L93" s="138"/>
      <c r="M93" s="273"/>
      <c r="N93" s="47"/>
      <c r="O93" s="41"/>
      <c r="P93" s="41"/>
      <c r="Q93" s="269"/>
      <c r="R93" s="152"/>
      <c r="S93" s="149"/>
      <c r="T93" s="212"/>
      <c r="U93" s="212"/>
      <c r="V93" s="212"/>
      <c r="W93" s="212"/>
      <c r="X93" s="111"/>
      <c r="Y93" s="149"/>
      <c r="Z93" s="36"/>
      <c r="AA93" s="198"/>
      <c r="AB93" s="36"/>
      <c r="AC93" s="146"/>
      <c r="AD93" s="280"/>
    </row>
    <row r="94" spans="8:30" ht="18" customHeight="1" thickBot="1">
      <c r="H94" s="281" t="s">
        <v>37</v>
      </c>
      <c r="I94" s="282" t="s">
        <v>2</v>
      </c>
      <c r="J94" s="283"/>
      <c r="K94" s="57">
        <f>K92+K75</f>
        <v>108</v>
      </c>
      <c r="L94" s="138"/>
      <c r="M94" s="273"/>
      <c r="N94" s="4"/>
      <c r="O94" s="21"/>
      <c r="P94" s="21"/>
      <c r="Q94" s="190"/>
      <c r="R94" s="152"/>
      <c r="S94" s="149"/>
      <c r="T94" s="212"/>
      <c r="U94" s="212"/>
      <c r="V94" s="212"/>
      <c r="W94" s="212"/>
      <c r="X94" s="111"/>
      <c r="Y94" s="149"/>
      <c r="Z94" s="36"/>
      <c r="AA94" s="198"/>
      <c r="AB94" s="36"/>
      <c r="AC94" s="146"/>
      <c r="AD94" s="109"/>
    </row>
    <row r="95" spans="10:16" ht="6.75" customHeight="1">
      <c r="J95" s="174"/>
      <c r="K95" s="109"/>
      <c r="L95" s="138"/>
      <c r="M95" s="46"/>
      <c r="N95" s="47"/>
      <c r="O95" s="21"/>
      <c r="P95" s="21"/>
    </row>
    <row r="96" spans="2:16" ht="14.25" customHeight="1">
      <c r="B96" s="96" t="s">
        <v>4</v>
      </c>
      <c r="J96" s="171"/>
      <c r="M96" s="114"/>
      <c r="N96" s="3"/>
      <c r="O96" s="29"/>
      <c r="P96" s="29"/>
    </row>
    <row r="97" spans="10:16" ht="6" customHeight="1" thickBot="1">
      <c r="J97" s="171"/>
      <c r="M97" s="114"/>
      <c r="N97" s="3"/>
      <c r="O97" s="29"/>
      <c r="P97" s="29"/>
    </row>
    <row r="98" spans="1:23" ht="19.5" customHeight="1">
      <c r="A98" s="296" t="s">
        <v>35</v>
      </c>
      <c r="B98" s="302"/>
      <c r="C98" s="303"/>
      <c r="D98" s="303"/>
      <c r="E98" s="303"/>
      <c r="F98" s="303"/>
      <c r="G98" s="303"/>
      <c r="H98" s="303"/>
      <c r="I98" s="303"/>
      <c r="J98" s="303"/>
      <c r="K98" s="303"/>
      <c r="L98" s="304"/>
      <c r="M98" s="114"/>
      <c r="N98" s="3"/>
      <c r="O98" s="33" t="s">
        <v>24</v>
      </c>
      <c r="P98" s="29"/>
      <c r="S98" s="160" t="str">
        <f>IF(AND(L5="",R6=TRUE,Q79="OK",O76="SI",P76="SI",K76="SI",L73="SI",H69="",Q36="",Q73="",Q92="",AC36="",AC73=""),"PDS OK","CI SONO ERRORI")</f>
        <v>CI SONO ERRORI</v>
      </c>
      <c r="T98" s="215"/>
      <c r="U98" s="215"/>
      <c r="V98" s="215"/>
      <c r="W98" s="215"/>
    </row>
    <row r="99" spans="1:16" ht="19.5" customHeight="1">
      <c r="A99" s="297"/>
      <c r="B99" s="305"/>
      <c r="C99" s="306"/>
      <c r="D99" s="306"/>
      <c r="E99" s="306"/>
      <c r="F99" s="306"/>
      <c r="G99" s="306"/>
      <c r="H99" s="306"/>
      <c r="I99" s="306"/>
      <c r="J99" s="306"/>
      <c r="K99" s="306"/>
      <c r="L99" s="307"/>
      <c r="M99" s="114"/>
      <c r="N99" s="3"/>
      <c r="O99" s="29"/>
      <c r="P99" s="29"/>
    </row>
    <row r="100" spans="1:16" ht="19.5" customHeight="1">
      <c r="A100" s="297"/>
      <c r="B100" s="305"/>
      <c r="C100" s="306"/>
      <c r="D100" s="306"/>
      <c r="E100" s="306"/>
      <c r="F100" s="306"/>
      <c r="G100" s="306"/>
      <c r="H100" s="306"/>
      <c r="I100" s="306"/>
      <c r="J100" s="306"/>
      <c r="K100" s="306"/>
      <c r="L100" s="307"/>
      <c r="M100" s="114"/>
      <c r="N100" s="3"/>
      <c r="O100" s="29"/>
      <c r="P100" s="29"/>
    </row>
    <row r="101" spans="1:16" ht="19.5" customHeight="1">
      <c r="A101" s="297"/>
      <c r="B101" s="305"/>
      <c r="C101" s="306"/>
      <c r="D101" s="306"/>
      <c r="E101" s="306"/>
      <c r="F101" s="306"/>
      <c r="G101" s="306"/>
      <c r="H101" s="306"/>
      <c r="I101" s="306"/>
      <c r="J101" s="306"/>
      <c r="K101" s="306"/>
      <c r="L101" s="307"/>
      <c r="M101" s="114"/>
      <c r="N101" s="3"/>
      <c r="O101" s="29"/>
      <c r="P101" s="29"/>
    </row>
    <row r="102" spans="1:16" ht="19.5" customHeight="1">
      <c r="A102" s="297"/>
      <c r="B102" s="305"/>
      <c r="C102" s="306"/>
      <c r="D102" s="306"/>
      <c r="E102" s="306"/>
      <c r="F102" s="306"/>
      <c r="G102" s="306"/>
      <c r="H102" s="306"/>
      <c r="I102" s="306"/>
      <c r="J102" s="306"/>
      <c r="K102" s="306"/>
      <c r="L102" s="307"/>
      <c r="M102" s="114"/>
      <c r="N102" s="3"/>
      <c r="O102" s="29"/>
      <c r="P102" s="29"/>
    </row>
    <row r="103" spans="1:16" ht="19.5" customHeight="1" thickBot="1">
      <c r="A103" s="298"/>
      <c r="B103" s="308"/>
      <c r="C103" s="309"/>
      <c r="D103" s="309"/>
      <c r="E103" s="309"/>
      <c r="F103" s="309"/>
      <c r="G103" s="309"/>
      <c r="H103" s="309"/>
      <c r="I103" s="309"/>
      <c r="J103" s="309"/>
      <c r="K103" s="309"/>
      <c r="L103" s="310"/>
      <c r="M103" s="114"/>
      <c r="N103" s="3"/>
      <c r="O103" s="29"/>
      <c r="P103" s="29"/>
    </row>
    <row r="104" spans="2:16" ht="12.75">
      <c r="B104" s="62"/>
      <c r="C104" s="62"/>
      <c r="D104" s="62"/>
      <c r="E104" s="62"/>
      <c r="F104" s="62"/>
      <c r="G104" s="62"/>
      <c r="H104" s="62"/>
      <c r="I104" s="62"/>
      <c r="J104" s="175"/>
      <c r="K104" s="82"/>
      <c r="L104" s="62"/>
      <c r="M104" s="114"/>
      <c r="N104" s="3"/>
      <c r="O104" s="29"/>
      <c r="P104" s="29"/>
    </row>
    <row r="105" spans="2:16" ht="15.75" customHeight="1">
      <c r="B105" s="161" t="s">
        <v>38</v>
      </c>
      <c r="C105" s="62"/>
      <c r="D105" s="62"/>
      <c r="E105" s="62"/>
      <c r="F105" s="62"/>
      <c r="G105" s="62"/>
      <c r="H105" s="62"/>
      <c r="I105" s="62"/>
      <c r="J105" s="175"/>
      <c r="K105" s="82"/>
      <c r="L105" s="62"/>
      <c r="M105" s="114"/>
      <c r="N105" s="3"/>
      <c r="O105" s="29"/>
      <c r="P105" s="30" t="s">
        <v>13</v>
      </c>
    </row>
    <row r="106" spans="2:14" ht="12.75">
      <c r="B106" s="62"/>
      <c r="C106" s="62"/>
      <c r="D106" s="62"/>
      <c r="E106" s="62"/>
      <c r="F106" s="62"/>
      <c r="G106" s="62"/>
      <c r="H106" s="62"/>
      <c r="I106" s="62"/>
      <c r="J106" s="175"/>
      <c r="K106" s="82"/>
      <c r="L106" s="62"/>
      <c r="M106" s="114"/>
      <c r="N106" s="3"/>
    </row>
    <row r="107" spans="10:16" ht="19.5" customHeight="1">
      <c r="J107" s="171"/>
      <c r="M107" s="114"/>
      <c r="N107" s="3"/>
      <c r="O107" s="29"/>
      <c r="P107" s="29"/>
    </row>
    <row r="108" spans="2:14" ht="17.25">
      <c r="B108" s="162" t="s">
        <v>39</v>
      </c>
      <c r="H108" s="162" t="s">
        <v>40</v>
      </c>
      <c r="J108" s="171"/>
      <c r="M108" s="114"/>
      <c r="N108" s="3"/>
    </row>
    <row r="109" spans="10:14" ht="12.75">
      <c r="J109" s="171"/>
      <c r="M109" s="114"/>
      <c r="N109" s="3"/>
    </row>
    <row r="110" spans="10:14" ht="12.75">
      <c r="J110" s="171"/>
      <c r="M110" s="114"/>
      <c r="N110" s="3"/>
    </row>
    <row r="111" spans="10:14" ht="12.75">
      <c r="J111" s="171"/>
      <c r="M111" s="114"/>
      <c r="N111" s="3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  <row r="934" ht="12.75">
      <c r="M934" s="114"/>
    </row>
    <row r="935" ht="12.75">
      <c r="M935" s="114"/>
    </row>
    <row r="936" ht="12.75">
      <c r="M936" s="114"/>
    </row>
    <row r="937" ht="12.75">
      <c r="M937" s="114"/>
    </row>
    <row r="938" ht="12.75">
      <c r="M938" s="114"/>
    </row>
    <row r="939" ht="12.75">
      <c r="M939" s="114"/>
    </row>
    <row r="940" ht="12.75">
      <c r="M940" s="114"/>
    </row>
    <row r="941" ht="12.75">
      <c r="M941" s="114"/>
    </row>
    <row r="942" ht="12.75">
      <c r="M942" s="114"/>
    </row>
    <row r="943" ht="12.75">
      <c r="M943" s="114"/>
    </row>
    <row r="944" ht="12.75">
      <c r="M944" s="114"/>
    </row>
    <row r="945" ht="12.75">
      <c r="M945" s="114"/>
    </row>
    <row r="946" ht="12.75">
      <c r="M946" s="114"/>
    </row>
    <row r="947" ht="12.75">
      <c r="M947" s="114"/>
    </row>
    <row r="948" ht="12.75">
      <c r="M948" s="114"/>
    </row>
    <row r="949" ht="12.75">
      <c r="M949" s="114"/>
    </row>
    <row r="950" ht="12.75">
      <c r="M950" s="114"/>
    </row>
    <row r="951" ht="12.75">
      <c r="M951" s="114"/>
    </row>
    <row r="952" ht="12.75">
      <c r="M952" s="114"/>
    </row>
    <row r="953" ht="12.75">
      <c r="M953" s="114"/>
    </row>
    <row r="954" ht="12.75">
      <c r="M954" s="114"/>
    </row>
  </sheetData>
  <sheetProtection/>
  <mergeCells count="30">
    <mergeCell ref="B70:E70"/>
    <mergeCell ref="AC74:AC75"/>
    <mergeCell ref="Q8:X8"/>
    <mergeCell ref="Q75:AA76"/>
    <mergeCell ref="G2:H2"/>
    <mergeCell ref="X6:AC6"/>
    <mergeCell ref="E6:F6"/>
    <mergeCell ref="I2:M2"/>
    <mergeCell ref="C3:E3"/>
    <mergeCell ref="D19:E19"/>
    <mergeCell ref="R80:Z80"/>
    <mergeCell ref="I3:K3"/>
    <mergeCell ref="A2:A7"/>
    <mergeCell ref="A14:A34"/>
    <mergeCell ref="A42:A71"/>
    <mergeCell ref="C7:H7"/>
    <mergeCell ref="N7:O7"/>
    <mergeCell ref="B71:E71"/>
    <mergeCell ref="L9:N9"/>
    <mergeCell ref="D15:E15"/>
    <mergeCell ref="C2:E2"/>
    <mergeCell ref="A98:A103"/>
    <mergeCell ref="B90:E90"/>
    <mergeCell ref="B98:L103"/>
    <mergeCell ref="B86:E86"/>
    <mergeCell ref="B87:E87"/>
    <mergeCell ref="A86:A90"/>
    <mergeCell ref="B88:E88"/>
    <mergeCell ref="B89:E89"/>
    <mergeCell ref="D4:E4"/>
  </mergeCells>
  <dataValidations count="1"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7" max="26" man="1"/>
    <brk id="81" max="26" man="1"/>
  </rowBreaks>
  <ignoredErrors>
    <ignoredError sqref="P87 Q45 Q58 Q61 Q63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2014-12-14T18:33:59Z</cp:lastPrinted>
  <dcterms:created xsi:type="dcterms:W3CDTF">2007-02-08T10:44:31Z</dcterms:created>
  <dcterms:modified xsi:type="dcterms:W3CDTF">2024-02-27T21:10:41Z</dcterms:modified>
  <cp:category/>
  <cp:version/>
  <cp:contentType/>
  <cp:contentStatus/>
</cp:coreProperties>
</file>