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310" activeTab="0"/>
  </bookViews>
  <sheets>
    <sheet name="Socioeconomic Engineering" sheetId="1" r:id="rId1"/>
  </sheets>
  <definedNames>
    <definedName name="_xlnm.Print_Area" localSheetId="0">'Socioeconomic Engineering'!$A$1:$AD$90</definedName>
  </definedNames>
  <calcPr fullCalcOnLoad="1"/>
</workbook>
</file>

<file path=xl/sharedStrings.xml><?xml version="1.0" encoding="utf-8"?>
<sst xmlns="http://schemas.openxmlformats.org/spreadsheetml/2006/main" count="107" uniqueCount="87">
  <si>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</si>
  <si>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</si>
  <si>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</si>
  <si>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</si>
  <si>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</si>
  <si>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</si>
  <si>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</si>
  <si>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</si>
  <si>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</si>
  <si>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</si>
  <si>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</si>
  <si>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</si>
  <si>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</si>
  <si>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</si>
  <si>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</si>
  <si>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</si>
  <si>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</si>
  <si>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</si>
  <si>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</si>
  <si>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</si>
  <si>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</si>
  <si>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</si>
  <si>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</si>
  <si>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</si>
  <si>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</si>
  <si>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</si>
  <si>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</si>
  <si>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</si>
  <si>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</si>
  <si>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</si>
  <si>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</si>
  <si>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</si>
  <si>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</si>
  <si>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</si>
  <si>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</si>
  <si>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</si>
  <si>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</si>
  <si>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</si>
  <si>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</si>
  <si>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</si>
  <si>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</si>
  <si>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</si>
  <si>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</si>
  <si>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</si>
  <si>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</si>
  <si>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</si>
  <si>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</si>
  <si>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</si>
  <si>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</si>
  <si>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</si>
  <si>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</si>
  <si>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</si>
  <si>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</si>
  <si>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</si>
  <si>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</si>
  <si>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</si>
  <si>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</si>
  <si>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</si>
  <si>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Economia dell'ICT</t>
  </si>
  <si>
    <t>Sistemi Informativi Web</t>
  </si>
  <si>
    <t>Modelli per la Gestione di Sistemi Complessi</t>
  </si>
  <si>
    <t>Progettazione e Simulazione dei Sistemi di Produzione e di Servizio</t>
  </si>
  <si>
    <t>CFU acquisiti nell'anno</t>
  </si>
  <si>
    <t xml:space="preserve">     Compilare solo</t>
  </si>
  <si>
    <t xml:space="preserve">     le parti in verde</t>
  </si>
  <si>
    <t>Ottimizzazione Non Lineare</t>
  </si>
  <si>
    <t xml:space="preserve">           ANNO DI ISCRIZIONE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</si>
  <si>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</si>
  <si>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</si>
  <si>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</si>
  <si>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</si>
  <si>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</si>
  <si>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</si>
  <si>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</si>
  <si>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 xml:space="preserve">  In Corso</t>
  </si>
  <si>
    <t>Fuori Corso</t>
  </si>
  <si>
    <t>Social Media Analytics</t>
  </si>
  <si>
    <t>Politica Economica e Finanziaria Applicata</t>
  </si>
  <si>
    <t>Social Media Organizational Communication</t>
  </si>
  <si>
    <t>Economia dell'Innovazione</t>
  </si>
  <si>
    <t>Elementi di Diritto dei Contratti</t>
  </si>
  <si>
    <t>Elementi di Diritto Digitale</t>
  </si>
  <si>
    <t>Supply Chain Management</t>
  </si>
  <si>
    <t>Sustainability Management and Innovation</t>
  </si>
  <si>
    <t>Modelli Statistici per l'Economia</t>
  </si>
  <si>
    <t>Metodi e Modelli per la Matematica Applicata</t>
  </si>
  <si>
    <t>INDIRIZZO: Socioeconomic Engineering A.A.2023/2024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</si>
</sst>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42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3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4" customWidth="1"/>
    <col min="27" max="27" width="8.28125" style="192" customWidth="1"/>
    <col min="28" max="28" width="0.85546875" style="34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289" t="s">
        <v>16</v>
      </c>
      <c r="B2" s="1" t="s">
        <v>5</v>
      </c>
      <c r="C2" s="305" t="s">
        <v>26</v>
      </c>
      <c r="D2" s="306"/>
      <c r="E2" s="307"/>
      <c r="F2" s="2"/>
      <c r="G2" s="322" t="s">
        <v>6</v>
      </c>
      <c r="H2" s="322"/>
      <c r="I2" s="305" t="s">
        <v>27</v>
      </c>
      <c r="J2" s="326"/>
      <c r="K2" s="326"/>
      <c r="L2" s="326"/>
      <c r="M2" s="327"/>
      <c r="N2" s="72"/>
      <c r="O2" s="222" t="s">
        <v>63</v>
      </c>
      <c r="P2" s="223"/>
      <c r="R2" s="73"/>
      <c r="S2" s="74" t="s">
        <v>44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290"/>
      <c r="B3" s="6" t="s">
        <v>9</v>
      </c>
      <c r="C3" s="303" t="s">
        <v>28</v>
      </c>
      <c r="D3" s="278"/>
      <c r="E3" s="279"/>
      <c r="F3" s="7"/>
      <c r="G3" s="7" t="s">
        <v>7</v>
      </c>
      <c r="H3" s="7"/>
      <c r="I3" s="328" t="s">
        <v>30</v>
      </c>
      <c r="J3" s="278"/>
      <c r="K3" s="279"/>
      <c r="M3" s="8"/>
      <c r="O3" s="224" t="s">
        <v>64</v>
      </c>
      <c r="P3" s="225"/>
      <c r="Q3" s="85"/>
      <c r="R3" s="86"/>
    </row>
    <row r="4" spans="1:18" ht="21" customHeight="1">
      <c r="A4" s="290"/>
      <c r="B4" s="6" t="s">
        <v>32</v>
      </c>
      <c r="C4" s="80"/>
      <c r="D4" s="325" t="s">
        <v>29</v>
      </c>
      <c r="E4" s="279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290"/>
      <c r="B5" s="7" t="s">
        <v>35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67" t="s">
        <v>74</v>
      </c>
      <c r="P5" s="268" t="s">
        <v>75</v>
      </c>
      <c r="Q5" s="85"/>
      <c r="R5" s="86"/>
    </row>
    <row r="6" spans="1:29" ht="23.25" customHeight="1">
      <c r="A6" s="290"/>
      <c r="B6" s="6" t="s">
        <v>69</v>
      </c>
      <c r="C6" s="62"/>
      <c r="D6" s="62"/>
      <c r="E6" s="303" t="s">
        <v>67</v>
      </c>
      <c r="F6" s="304"/>
      <c r="G6" s="241" t="s">
        <v>66</v>
      </c>
      <c r="H6" s="244" t="s">
        <v>68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69" t="b">
        <f>IF(S6=2,TRUE,IF(Q6&lt;2,FALSE,TRUE))</f>
        <v>1</v>
      </c>
      <c r="S6" s="181">
        <v>2</v>
      </c>
      <c r="T6" s="181"/>
      <c r="U6" s="181"/>
      <c r="V6" s="181"/>
      <c r="W6" s="181"/>
      <c r="X6" s="323" t="str">
        <f>IF(S6=2,"IN CORSO",IF(Q6&lt;2,"ERRORE FUORI CORSO","FUORI CORSO"))</f>
        <v>IN CORSO</v>
      </c>
      <c r="Y6" s="324"/>
      <c r="Z6" s="324"/>
      <c r="AA6" s="324"/>
      <c r="AB6" s="324"/>
      <c r="AC6" s="324"/>
    </row>
    <row r="7" spans="1:26" ht="8.25" customHeight="1" thickBot="1">
      <c r="A7" s="291"/>
      <c r="B7" s="10"/>
      <c r="C7" s="315"/>
      <c r="D7" s="316"/>
      <c r="E7" s="316"/>
      <c r="F7" s="316"/>
      <c r="G7" s="316"/>
      <c r="H7" s="317"/>
      <c r="I7" s="62"/>
      <c r="J7" s="62"/>
      <c r="K7" s="82"/>
      <c r="L7" s="221"/>
      <c r="M7" s="62"/>
      <c r="N7" s="318"/>
      <c r="O7" s="318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310" t="s">
        <v>21</v>
      </c>
      <c r="R8" s="311"/>
      <c r="S8" s="311"/>
      <c r="T8" s="311"/>
      <c r="U8" s="311"/>
      <c r="V8" s="311"/>
      <c r="W8" s="311"/>
      <c r="X8" s="311"/>
      <c r="Y8" s="92">
        <f>IF(S6=1,18,18)</f>
        <v>18</v>
      </c>
      <c r="Z8" s="67"/>
    </row>
    <row r="9" spans="2:18" ht="25.5" customHeight="1" thickBot="1">
      <c r="B9" s="163" t="s">
        <v>47</v>
      </c>
      <c r="C9" s="95"/>
      <c r="D9" s="95"/>
      <c r="E9" s="95"/>
      <c r="H9" s="245" t="s">
        <v>70</v>
      </c>
      <c r="I9" s="11"/>
      <c r="J9" s="11"/>
      <c r="K9" s="13"/>
      <c r="L9" s="319" t="s">
        <v>67</v>
      </c>
      <c r="M9" s="320"/>
      <c r="N9" s="321"/>
      <c r="O9" s="242"/>
      <c r="P9" s="243"/>
      <c r="R9" s="94"/>
    </row>
    <row r="10" ht="25.5" customHeight="1" thickBot="1">
      <c r="B10" s="189" t="s">
        <v>86</v>
      </c>
    </row>
    <row r="11" spans="2:16" ht="15.75" customHeight="1" thickBot="1">
      <c r="B11" s="96" t="s">
        <v>24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43</v>
      </c>
      <c r="I12" s="98" t="s">
        <v>72</v>
      </c>
      <c r="K12" s="98" t="s">
        <v>1</v>
      </c>
      <c r="L12" s="100" t="s">
        <v>8</v>
      </c>
      <c r="M12" s="100" t="s">
        <v>23</v>
      </c>
      <c r="N12" s="101"/>
      <c r="O12" s="37" t="s">
        <v>10</v>
      </c>
      <c r="P12" s="38" t="s">
        <v>11</v>
      </c>
      <c r="Q12" s="66"/>
      <c r="R12" s="67"/>
      <c r="S12" s="36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31</v>
      </c>
      <c r="AB12" s="93"/>
      <c r="AC12" s="104" t="s">
        <v>33</v>
      </c>
      <c r="AD12" s="105" t="s">
        <v>19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292" t="s">
        <v>17</v>
      </c>
      <c r="B14" s="47" t="s">
        <v>65</v>
      </c>
      <c r="C14" s="106"/>
      <c r="D14" s="106"/>
      <c r="E14" s="106"/>
      <c r="F14" s="107"/>
      <c r="G14" s="231"/>
      <c r="H14" s="232"/>
      <c r="I14" s="233"/>
      <c r="J14" s="4">
        <v>2</v>
      </c>
      <c r="K14" s="39">
        <v>12</v>
      </c>
      <c r="L14" s="234"/>
      <c r="M14" s="56">
        <v>1</v>
      </c>
      <c r="N14" s="46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6">
        <f aca="true" t="shared" si="2" ref="S14:S24">IF(AND(V14=FALSE,X14=FALSE,M14-L14=1,J14=2),K14,"")</f>
      </c>
      <c r="T14" s="202"/>
      <c r="U14" s="202"/>
      <c r="V14" s="202" t="b">
        <f>IF(AND(J14=2,L14&lt;$L$6),TRUE,FALSE)</f>
        <v>1</v>
      </c>
      <c r="W14" s="202" t="b">
        <f>IF(AND(J14=1,L14&gt;$L$6-$S$6+1),TRUE,FALSE)</f>
        <v>0</v>
      </c>
      <c r="X14" s="202" t="b">
        <f>IF(AND(L14&lt;3,L14&gt;0),FALSE,TRUE)</f>
        <v>1</v>
      </c>
      <c r="Y14" s="56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 aca="true" t="shared" si="3" ref="AB14:AB24">AND(X14=FALSE,L14&lt;M14-1)</f>
        <v>0</v>
      </c>
      <c r="AC14" s="156">
        <f>IF(AB14,"NON CONSENTITO","")</f>
      </c>
      <c r="AD14" s="109">
        <f>IF(AND(J14=1,X14=FALSE,L14=$L$6,$S$6=1),K14,"")</f>
      </c>
    </row>
    <row r="15" spans="1:30" ht="24" customHeight="1">
      <c r="A15" s="293"/>
      <c r="B15" s="47" t="s">
        <v>77</v>
      </c>
      <c r="C15" s="106"/>
      <c r="D15" s="106"/>
      <c r="E15" s="106"/>
      <c r="F15" s="107"/>
      <c r="G15" s="231"/>
      <c r="H15" s="232"/>
      <c r="I15" s="233"/>
      <c r="J15" s="4">
        <v>2</v>
      </c>
      <c r="K15" s="39">
        <v>6</v>
      </c>
      <c r="L15" s="234"/>
      <c r="M15" s="56">
        <v>1</v>
      </c>
      <c r="N15" s="46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6">
        <f t="shared" si="2"/>
      </c>
      <c r="T15" s="202"/>
      <c r="U15" s="202"/>
      <c r="V15" s="202" t="b">
        <f aca="true" t="shared" si="5" ref="V15:V24">IF(AND(J15=2,L15&lt;$L$6),TRUE,FALSE)</f>
        <v>1</v>
      </c>
      <c r="W15" s="202" t="b">
        <f aca="true" t="shared" si="6" ref="W15:W24">IF(AND(J15=1,L15&gt;$L$6-$S$6+1),TRUE,FALSE)</f>
        <v>0</v>
      </c>
      <c r="X15" s="202" t="b">
        <f aca="true" t="shared" si="7" ref="X15:X24">IF(AND(L15&lt;3,L15&gt;0),FALSE,TRUE)</f>
        <v>1</v>
      </c>
      <c r="Y15" s="56">
        <f aca="true" t="shared" si="8" ref="Y15:Y24">IF(Q15="ANTICIPO",1,"")</f>
      </c>
      <c r="Z15" s="203" t="b">
        <f aca="true" t="shared" si="9" ref="Z15:Z24">AND(J15=1,X15=FALSE,L15&lt;$L$6,L15&lt;M15)</f>
        <v>0</v>
      </c>
      <c r="AA15" s="194">
        <f aca="true" t="shared" si="10" ref="AA15:AA24">IF(Z15,1,"")</f>
      </c>
      <c r="AB15" s="203" t="b">
        <f t="shared" si="3"/>
        <v>0</v>
      </c>
      <c r="AC15" s="156">
        <f aca="true" t="shared" si="11" ref="AC15:AC24">IF(AB15,"NON CONSENTITO","")</f>
      </c>
      <c r="AD15" s="109">
        <f aca="true" t="shared" si="12" ref="AD15:AD24">IF(AND(J15=1,X15=FALSE,L15=$L$6,$S$6=1),K15,"")</f>
      </c>
    </row>
    <row r="16" spans="1:30" ht="24" customHeight="1">
      <c r="A16" s="293"/>
      <c r="B16" s="186" t="s">
        <v>52</v>
      </c>
      <c r="C16" s="106"/>
      <c r="D16" s="106"/>
      <c r="E16" s="106"/>
      <c r="F16" s="107"/>
      <c r="G16" s="231"/>
      <c r="H16" s="232"/>
      <c r="I16" s="233"/>
      <c r="J16" s="4">
        <v>2</v>
      </c>
      <c r="K16" s="39">
        <v>9</v>
      </c>
      <c r="L16" s="234"/>
      <c r="M16" s="56">
        <v>1</v>
      </c>
      <c r="N16" s="46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6">
        <f t="shared" si="2"/>
      </c>
      <c r="T16" s="202"/>
      <c r="U16" s="202"/>
      <c r="V16" s="202" t="b">
        <f t="shared" si="5"/>
        <v>1</v>
      </c>
      <c r="W16" s="202" t="b">
        <f t="shared" si="6"/>
        <v>0</v>
      </c>
      <c r="X16" s="202" t="b">
        <f t="shared" si="7"/>
        <v>1</v>
      </c>
      <c r="Y16" s="56">
        <f t="shared" si="8"/>
      </c>
      <c r="Z16" s="203" t="b">
        <f t="shared" si="9"/>
        <v>0</v>
      </c>
      <c r="AA16" s="194">
        <f t="shared" si="10"/>
      </c>
      <c r="AB16" s="203" t="b">
        <f t="shared" si="3"/>
        <v>0</v>
      </c>
      <c r="AC16" s="156">
        <f t="shared" si="11"/>
      </c>
      <c r="AD16" s="109">
        <f t="shared" si="12"/>
      </c>
    </row>
    <row r="17" spans="1:30" ht="24" customHeight="1">
      <c r="A17" s="293"/>
      <c r="B17" s="48" t="s">
        <v>53</v>
      </c>
      <c r="C17" s="106"/>
      <c r="D17" s="106"/>
      <c r="E17" s="106"/>
      <c r="F17" s="107"/>
      <c r="G17" s="231"/>
      <c r="H17" s="232"/>
      <c r="I17" s="233"/>
      <c r="J17" s="4">
        <v>2</v>
      </c>
      <c r="K17" s="39">
        <v>6</v>
      </c>
      <c r="L17" s="234"/>
      <c r="M17" s="56">
        <v>1</v>
      </c>
      <c r="N17" s="46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6">
        <f t="shared" si="2"/>
      </c>
      <c r="T17" s="202"/>
      <c r="U17" s="202"/>
      <c r="V17" s="202" t="b">
        <f t="shared" si="5"/>
        <v>1</v>
      </c>
      <c r="W17" s="202" t="b">
        <f t="shared" si="6"/>
        <v>0</v>
      </c>
      <c r="X17" s="202" t="b">
        <f t="shared" si="7"/>
        <v>1</v>
      </c>
      <c r="Y17" s="56">
        <f t="shared" si="8"/>
      </c>
      <c r="Z17" s="203" t="b">
        <f t="shared" si="9"/>
        <v>0</v>
      </c>
      <c r="AA17" s="194">
        <f t="shared" si="10"/>
      </c>
      <c r="AB17" s="203" t="b">
        <f t="shared" si="3"/>
        <v>0</v>
      </c>
      <c r="AC17" s="156">
        <f t="shared" si="11"/>
      </c>
      <c r="AD17" s="109">
        <f t="shared" si="12"/>
      </c>
    </row>
    <row r="18" spans="1:30" ht="24" customHeight="1">
      <c r="A18" s="293"/>
      <c r="B18" s="186" t="s">
        <v>54</v>
      </c>
      <c r="C18" s="106"/>
      <c r="D18" s="106"/>
      <c r="E18" s="106"/>
      <c r="F18" s="107"/>
      <c r="G18" s="231"/>
      <c r="H18" s="232"/>
      <c r="I18" s="233"/>
      <c r="J18" s="4">
        <v>2</v>
      </c>
      <c r="K18" s="39">
        <v>6</v>
      </c>
      <c r="L18" s="234"/>
      <c r="M18" s="56">
        <v>1</v>
      </c>
      <c r="N18" s="46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6">
        <f t="shared" si="2"/>
      </c>
      <c r="T18" s="202"/>
      <c r="U18" s="202"/>
      <c r="V18" s="202" t="b">
        <f t="shared" si="5"/>
        <v>1</v>
      </c>
      <c r="W18" s="202" t="b">
        <f t="shared" si="6"/>
        <v>0</v>
      </c>
      <c r="X18" s="202" t="b">
        <f t="shared" si="7"/>
        <v>1</v>
      </c>
      <c r="Y18" s="56">
        <f t="shared" si="8"/>
      </c>
      <c r="Z18" s="203" t="b">
        <f t="shared" si="9"/>
        <v>0</v>
      </c>
      <c r="AA18" s="194">
        <f t="shared" si="10"/>
      </c>
      <c r="AB18" s="203" t="b">
        <f t="shared" si="3"/>
        <v>0</v>
      </c>
      <c r="AC18" s="156">
        <f t="shared" si="11"/>
      </c>
      <c r="AD18" s="109">
        <f t="shared" si="12"/>
      </c>
    </row>
    <row r="19" spans="1:30" ht="24" customHeight="1">
      <c r="A19" s="293"/>
      <c r="B19" s="47" t="s">
        <v>78</v>
      </c>
      <c r="C19" s="106"/>
      <c r="D19" s="106"/>
      <c r="E19" s="106"/>
      <c r="F19" s="107"/>
      <c r="G19" s="231"/>
      <c r="H19" s="232"/>
      <c r="I19" s="233"/>
      <c r="J19" s="4">
        <v>2</v>
      </c>
      <c r="K19" s="39">
        <v>6</v>
      </c>
      <c r="L19" s="234"/>
      <c r="M19" s="56">
        <v>1</v>
      </c>
      <c r="N19" s="46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6">
        <f t="shared" si="2"/>
      </c>
      <c r="T19" s="202"/>
      <c r="U19" s="202"/>
      <c r="V19" s="202" t="b">
        <f t="shared" si="5"/>
        <v>1</v>
      </c>
      <c r="W19" s="202" t="b">
        <f t="shared" si="6"/>
        <v>0</v>
      </c>
      <c r="X19" s="202" t="b">
        <f t="shared" si="7"/>
        <v>1</v>
      </c>
      <c r="Y19" s="56">
        <f t="shared" si="8"/>
      </c>
      <c r="Z19" s="203" t="b">
        <f t="shared" si="9"/>
        <v>0</v>
      </c>
      <c r="AA19" s="194">
        <f t="shared" si="10"/>
      </c>
      <c r="AB19" s="203" t="b">
        <f t="shared" si="3"/>
        <v>0</v>
      </c>
      <c r="AC19" s="156">
        <f t="shared" si="11"/>
      </c>
      <c r="AD19" s="109">
        <f t="shared" si="12"/>
      </c>
    </row>
    <row r="20" spans="1:30" ht="24" customHeight="1">
      <c r="A20" s="293"/>
      <c r="B20" s="47" t="s">
        <v>83</v>
      </c>
      <c r="C20" s="106"/>
      <c r="D20" s="106"/>
      <c r="E20" s="106"/>
      <c r="F20" s="107"/>
      <c r="G20" s="231"/>
      <c r="H20" s="232"/>
      <c r="I20" s="233"/>
      <c r="J20" s="4">
        <v>2</v>
      </c>
      <c r="K20" s="39">
        <v>6</v>
      </c>
      <c r="L20" s="234"/>
      <c r="M20" s="56">
        <v>1</v>
      </c>
      <c r="N20" s="46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6">
        <f t="shared" si="2"/>
      </c>
      <c r="T20" s="202"/>
      <c r="U20" s="202"/>
      <c r="V20" s="202" t="b">
        <f t="shared" si="5"/>
        <v>1</v>
      </c>
      <c r="W20" s="202" t="b">
        <f t="shared" si="6"/>
        <v>0</v>
      </c>
      <c r="X20" s="202" t="b">
        <f t="shared" si="7"/>
        <v>1</v>
      </c>
      <c r="Y20" s="56">
        <f t="shared" si="8"/>
      </c>
      <c r="Z20" s="203" t="b">
        <f t="shared" si="9"/>
        <v>0</v>
      </c>
      <c r="AA20" s="194">
        <f t="shared" si="10"/>
      </c>
      <c r="AB20" s="203" t="b">
        <f t="shared" si="3"/>
        <v>0</v>
      </c>
      <c r="AC20" s="156">
        <f t="shared" si="11"/>
      </c>
      <c r="AD20" s="109">
        <f t="shared" si="12"/>
      </c>
    </row>
    <row r="21" spans="1:30" ht="24" customHeight="1">
      <c r="A21" s="293"/>
      <c r="B21" s="47" t="s">
        <v>55</v>
      </c>
      <c r="C21" s="106"/>
      <c r="D21" s="106"/>
      <c r="E21" s="106"/>
      <c r="F21" s="107"/>
      <c r="G21" s="231"/>
      <c r="H21" s="232"/>
      <c r="I21" s="233"/>
      <c r="J21" s="4">
        <v>2</v>
      </c>
      <c r="K21" s="39">
        <v>12</v>
      </c>
      <c r="L21" s="234"/>
      <c r="M21" s="56">
        <v>2</v>
      </c>
      <c r="N21" s="46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6">
        <f t="shared" si="2"/>
      </c>
      <c r="T21" s="202"/>
      <c r="U21" s="202"/>
      <c r="V21" s="202" t="b">
        <f t="shared" si="5"/>
        <v>1</v>
      </c>
      <c r="W21" s="202" t="b">
        <f t="shared" si="6"/>
        <v>0</v>
      </c>
      <c r="X21" s="202" t="b">
        <f t="shared" si="7"/>
        <v>1</v>
      </c>
      <c r="Y21" s="56">
        <f t="shared" si="8"/>
      </c>
      <c r="Z21" s="203" t="b">
        <f t="shared" si="9"/>
        <v>0</v>
      </c>
      <c r="AA21" s="194">
        <f t="shared" si="10"/>
      </c>
      <c r="AB21" s="203" t="b">
        <f t="shared" si="3"/>
        <v>0</v>
      </c>
      <c r="AC21" s="156">
        <f t="shared" si="11"/>
      </c>
      <c r="AD21" s="109">
        <f t="shared" si="12"/>
      </c>
    </row>
    <row r="22" spans="1:30" ht="24" customHeight="1">
      <c r="A22" s="293"/>
      <c r="B22" s="47" t="s">
        <v>56</v>
      </c>
      <c r="C22" s="106"/>
      <c r="D22" s="106"/>
      <c r="E22" s="106"/>
      <c r="F22" s="107"/>
      <c r="G22" s="231"/>
      <c r="H22" s="232"/>
      <c r="I22" s="233"/>
      <c r="J22" s="4">
        <v>2</v>
      </c>
      <c r="K22" s="39">
        <v>12</v>
      </c>
      <c r="L22" s="234"/>
      <c r="M22" s="56">
        <v>2</v>
      </c>
      <c r="N22" s="46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6">
        <f t="shared" si="2"/>
      </c>
      <c r="T22" s="202"/>
      <c r="U22" s="202"/>
      <c r="V22" s="202" t="b">
        <f t="shared" si="5"/>
        <v>1</v>
      </c>
      <c r="W22" s="202" t="b">
        <f t="shared" si="6"/>
        <v>0</v>
      </c>
      <c r="X22" s="202" t="b">
        <f t="shared" si="7"/>
        <v>1</v>
      </c>
      <c r="Y22" s="56">
        <f t="shared" si="8"/>
      </c>
      <c r="Z22" s="203" t="b">
        <f t="shared" si="9"/>
        <v>0</v>
      </c>
      <c r="AA22" s="194">
        <f t="shared" si="10"/>
      </c>
      <c r="AB22" s="203" t="b">
        <f t="shared" si="3"/>
        <v>0</v>
      </c>
      <c r="AC22" s="156">
        <f t="shared" si="11"/>
      </c>
      <c r="AD22" s="109">
        <f t="shared" si="12"/>
      </c>
    </row>
    <row r="23" spans="1:30" ht="24" customHeight="1">
      <c r="A23" s="293"/>
      <c r="B23" s="47" t="s">
        <v>76</v>
      </c>
      <c r="C23" s="106"/>
      <c r="D23" s="106"/>
      <c r="E23" s="106"/>
      <c r="F23" s="107"/>
      <c r="G23" s="231"/>
      <c r="H23" s="232"/>
      <c r="I23" s="233"/>
      <c r="J23" s="4">
        <v>2</v>
      </c>
      <c r="K23" s="39">
        <v>6</v>
      </c>
      <c r="L23" s="234"/>
      <c r="M23" s="56">
        <v>2</v>
      </c>
      <c r="N23" s="46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6">
        <f t="shared" si="2"/>
      </c>
      <c r="T23" s="202"/>
      <c r="U23" s="202"/>
      <c r="V23" s="202" t="b">
        <f t="shared" si="5"/>
        <v>1</v>
      </c>
      <c r="W23" s="202" t="b">
        <f t="shared" si="6"/>
        <v>0</v>
      </c>
      <c r="X23" s="202" t="b">
        <f t="shared" si="7"/>
        <v>1</v>
      </c>
      <c r="Y23" s="56">
        <f t="shared" si="8"/>
      </c>
      <c r="Z23" s="203" t="b">
        <f t="shared" si="9"/>
        <v>0</v>
      </c>
      <c r="AA23" s="194">
        <f t="shared" si="10"/>
      </c>
      <c r="AB23" s="203" t="b">
        <f t="shared" si="3"/>
        <v>0</v>
      </c>
      <c r="AC23" s="156">
        <f t="shared" si="11"/>
      </c>
      <c r="AD23" s="109">
        <f t="shared" si="12"/>
      </c>
    </row>
    <row r="24" spans="1:30" ht="24" customHeight="1">
      <c r="A24" s="293"/>
      <c r="B24" s="47" t="s">
        <v>57</v>
      </c>
      <c r="C24" s="106"/>
      <c r="D24" s="106"/>
      <c r="E24" s="106"/>
      <c r="F24" s="107"/>
      <c r="G24" s="231"/>
      <c r="H24" s="232"/>
      <c r="I24" s="233"/>
      <c r="J24" s="4">
        <v>2</v>
      </c>
      <c r="K24" s="39">
        <v>12</v>
      </c>
      <c r="L24" s="234"/>
      <c r="M24" s="56">
        <v>2</v>
      </c>
      <c r="N24" s="46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6">
        <f t="shared" si="2"/>
      </c>
      <c r="T24" s="202"/>
      <c r="U24" s="202"/>
      <c r="V24" s="202" t="b">
        <f t="shared" si="5"/>
        <v>1</v>
      </c>
      <c r="W24" s="202" t="b">
        <f t="shared" si="6"/>
        <v>0</v>
      </c>
      <c r="X24" s="202" t="b">
        <f t="shared" si="7"/>
        <v>1</v>
      </c>
      <c r="Y24" s="56">
        <f t="shared" si="8"/>
      </c>
      <c r="Z24" s="203" t="b">
        <f t="shared" si="9"/>
        <v>0</v>
      </c>
      <c r="AA24" s="194">
        <f t="shared" si="10"/>
      </c>
      <c r="AB24" s="203" t="b">
        <f t="shared" si="3"/>
        <v>0</v>
      </c>
      <c r="AC24" s="156">
        <f t="shared" si="11"/>
      </c>
      <c r="AD24" s="109">
        <f t="shared" si="12"/>
      </c>
    </row>
    <row r="25" spans="1:30" ht="1.5" customHeight="1">
      <c r="A25" s="294"/>
      <c r="B25" s="49"/>
      <c r="C25" s="112"/>
      <c r="D25" s="112"/>
      <c r="E25" s="112"/>
      <c r="F25" s="113"/>
      <c r="G25" s="164"/>
      <c r="H25" s="113"/>
      <c r="I25" s="165"/>
      <c r="J25" s="4">
        <v>2</v>
      </c>
      <c r="K25" s="39"/>
      <c r="L25" s="14"/>
      <c r="M25" s="114"/>
      <c r="N25" s="46"/>
      <c r="O25" s="20"/>
      <c r="P25" s="22"/>
      <c r="Q25" s="190"/>
      <c r="R25" s="155"/>
      <c r="S25" s="56">
        <f>IF(AND(X25&lt;&gt;"?",M25-L25=1,J25=2),K25,"")</f>
      </c>
      <c r="T25" s="202"/>
      <c r="U25" s="202"/>
      <c r="V25" s="202"/>
      <c r="W25" s="202"/>
      <c r="X25" s="202"/>
      <c r="Y25" s="56">
        <f>IF(Q25="ANTICIPO",1,"")</f>
      </c>
      <c r="Z25" s="203" t="b">
        <f>AND(J25=1,X25&lt;&gt;"?",L25&lt;M25)</f>
        <v>0</v>
      </c>
      <c r="AA25" s="194">
        <f>IF(Z25,1,"")</f>
      </c>
      <c r="AB25" s="204"/>
      <c r="AC25" s="156">
        <f>IF(AND(X25&lt;&gt;"?",M25-L25&gt;1),"NON CONSENTITO","")</f>
      </c>
      <c r="AD25" s="109">
        <f>IF(AND(L25&lt;=$L$6,J25=1),K25,"")</f>
      </c>
    </row>
    <row r="26" spans="1:30" ht="1.5" customHeight="1">
      <c r="A26" s="294"/>
      <c r="B26" s="50"/>
      <c r="C26" s="115"/>
      <c r="D26" s="115"/>
      <c r="E26" s="115"/>
      <c r="F26" s="12"/>
      <c r="G26" s="166"/>
      <c r="H26" s="12"/>
      <c r="I26" s="167"/>
      <c r="J26" s="4">
        <v>2</v>
      </c>
      <c r="K26" s="39"/>
      <c r="L26" s="14"/>
      <c r="M26" s="114"/>
      <c r="N26" s="46"/>
      <c r="O26" s="20"/>
      <c r="P26" s="22"/>
      <c r="Q26" s="190"/>
      <c r="R26" s="155"/>
      <c r="S26" s="56">
        <f>IF(AND(X26&lt;&gt;"?",M26-L26=1,J26=2),K26,"")</f>
      </c>
      <c r="T26" s="202"/>
      <c r="U26" s="202"/>
      <c r="V26" s="202"/>
      <c r="W26" s="202"/>
      <c r="X26" s="202"/>
      <c r="Y26" s="56">
        <f>IF(Q26="ANTICIPO",1,"")</f>
      </c>
      <c r="Z26" s="203" t="b">
        <f>AND(J26=1,X26&lt;&gt;"?",L26&lt;M26)</f>
        <v>0</v>
      </c>
      <c r="AA26" s="194">
        <f>IF(Z26,1,"")</f>
      </c>
      <c r="AB26" s="204"/>
      <c r="AC26" s="156">
        <f>IF(AND(X26&lt;&gt;"?",M26-L26&gt;1),"NON CONSENTITO","")</f>
      </c>
      <c r="AD26" s="109">
        <f>IF(AND(L26&lt;=$L$6,J26=1),K26,"")</f>
      </c>
    </row>
    <row r="27" spans="1:30" ht="1.5" customHeight="1">
      <c r="A27" s="294"/>
      <c r="B27" s="51"/>
      <c r="C27" s="116"/>
      <c r="D27" s="116"/>
      <c r="E27" s="116"/>
      <c r="F27" s="117"/>
      <c r="G27" s="168"/>
      <c r="H27" s="117"/>
      <c r="I27" s="169"/>
      <c r="J27" s="4">
        <v>2</v>
      </c>
      <c r="K27" s="39"/>
      <c r="L27" s="14"/>
      <c r="M27" s="114"/>
      <c r="N27" s="46"/>
      <c r="O27" s="20"/>
      <c r="P27" s="22"/>
      <c r="Q27" s="190"/>
      <c r="R27" s="155"/>
      <c r="S27" s="56">
        <f>IF(AND(X27&lt;&gt;"?",M27-L27=1,J27=2),K27,"")</f>
      </c>
      <c r="T27" s="202"/>
      <c r="U27" s="202"/>
      <c r="V27" s="202"/>
      <c r="W27" s="202"/>
      <c r="X27" s="202"/>
      <c r="Y27" s="56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09">
        <f>IF(AND(L27&lt;=$L$6,J27=1),K27,"")</f>
      </c>
    </row>
    <row r="28" spans="1:30" ht="24" customHeight="1">
      <c r="A28" s="294"/>
      <c r="B28" s="47" t="s">
        <v>20</v>
      </c>
      <c r="C28" s="106"/>
      <c r="D28" s="106"/>
      <c r="E28" s="106"/>
      <c r="F28" s="107"/>
      <c r="G28" s="231"/>
      <c r="H28" s="232"/>
      <c r="I28" s="233"/>
      <c r="J28" s="4">
        <v>2</v>
      </c>
      <c r="K28" s="39">
        <v>3</v>
      </c>
      <c r="L28" s="234"/>
      <c r="M28" s="56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6"/>
      <c r="T28" s="202"/>
      <c r="U28" s="202"/>
      <c r="V28" s="202" t="b">
        <f>IF(AND(J28=2,L28&lt;$L$6),TRUE,FALSE)</f>
        <v>1</v>
      </c>
      <c r="W28" s="202" t="b">
        <f>IF(AND(J28=1,L28&gt;$L$6-$S$6+1),TRUE,FALSE)</f>
        <v>0</v>
      </c>
      <c r="X28" s="202" t="b">
        <f>IF(AND(L28&lt;3,L28&gt;0),FALSE,TRUE)</f>
        <v>1</v>
      </c>
      <c r="Y28" s="56"/>
      <c r="Z28" s="203" t="b">
        <f>AND(J28=1,X28=FALSE,L28&lt;$L$6,L28&lt;M28)</f>
        <v>0</v>
      </c>
      <c r="AA28" s="194">
        <f>IF(Z28,1,"")</f>
      </c>
      <c r="AB28" s="203"/>
      <c r="AC28" s="156"/>
      <c r="AD28" s="109">
        <f>IF(AND(J28=1,X28=FALSE,L28=$L$6,$S$6=1),K28,"")</f>
      </c>
    </row>
    <row r="29" spans="1:30" ht="19.5" customHeight="1" thickBot="1">
      <c r="A29" s="295"/>
      <c r="B29" s="51" t="s">
        <v>0</v>
      </c>
      <c r="C29" s="116"/>
      <c r="D29" s="116"/>
      <c r="E29" s="118"/>
      <c r="F29" s="117"/>
      <c r="G29" s="62"/>
      <c r="H29" s="62"/>
      <c r="I29" s="62"/>
      <c r="J29" s="170"/>
      <c r="K29" s="40">
        <v>12</v>
      </c>
      <c r="L29" s="15">
        <v>2</v>
      </c>
      <c r="M29" s="56">
        <v>2</v>
      </c>
      <c r="N29" s="176"/>
      <c r="O29" s="23">
        <v>0</v>
      </c>
      <c r="P29" s="25">
        <f>IF(L29=2,K29,0)</f>
        <v>12</v>
      </c>
      <c r="Q29" s="190"/>
      <c r="R29" s="155"/>
      <c r="S29" s="56"/>
      <c r="T29" s="202"/>
      <c r="U29" s="202"/>
      <c r="V29" s="202"/>
      <c r="W29" s="202"/>
      <c r="X29" s="202"/>
      <c r="Y29" s="56"/>
      <c r="Z29" s="203"/>
      <c r="AA29" s="194"/>
      <c r="AB29" s="204"/>
      <c r="AC29" s="156"/>
      <c r="AD29" s="109"/>
    </row>
    <row r="30" spans="2:29" ht="9.75" customHeight="1">
      <c r="B30" s="52"/>
      <c r="J30" s="171"/>
      <c r="K30" s="41"/>
      <c r="L30" s="109"/>
      <c r="M30" s="114"/>
      <c r="N30" s="46"/>
      <c r="O30" s="21"/>
      <c r="P30" s="21"/>
      <c r="R30" s="110"/>
      <c r="S30" s="92"/>
      <c r="T30" s="209"/>
      <c r="U30" s="209"/>
      <c r="V30" s="209"/>
      <c r="W30" s="209"/>
      <c r="X30" s="111"/>
      <c r="AA30" s="195"/>
      <c r="AC30" s="104"/>
    </row>
    <row r="31" spans="1:30" ht="15" customHeight="1">
      <c r="A31" s="137" t="s">
        <v>71</v>
      </c>
      <c r="B31" s="52"/>
      <c r="I31" s="250" t="s">
        <v>1</v>
      </c>
      <c r="J31" s="251"/>
      <c r="K31" s="17">
        <f>SUM(K14:K29)</f>
        <v>108</v>
      </c>
      <c r="L31" s="109"/>
      <c r="M31" s="252"/>
      <c r="N31" s="46"/>
      <c r="O31" s="16">
        <f>SUM(O14:O29)</f>
        <v>0</v>
      </c>
      <c r="P31" s="17">
        <f>SUM(P14:P29)</f>
        <v>12</v>
      </c>
      <c r="Q31" s="253" t="str">
        <f>IF(OR(V14:X24,V28:X28),"ANNI ?","")</f>
        <v>ANNI ?</v>
      </c>
      <c r="R31" s="155"/>
      <c r="S31" s="56"/>
      <c r="T31" s="202"/>
      <c r="U31" s="202"/>
      <c r="V31" s="202"/>
      <c r="W31" s="202"/>
      <c r="X31" s="111"/>
      <c r="Y31" s="149"/>
      <c r="Z31" s="35"/>
      <c r="AA31" s="194"/>
      <c r="AB31" s="35"/>
      <c r="AC31" s="254">
        <f>IF(OR(AB14:AB24),"Ant. N.C.","")</f>
      </c>
      <c r="AD31" s="255">
        <f>SUM(AD14:AD28)</f>
        <v>0</v>
      </c>
    </row>
    <row r="32" spans="2:29" ht="9.75" customHeight="1">
      <c r="B32" s="52"/>
      <c r="J32" s="171"/>
      <c r="K32" s="41"/>
      <c r="L32" s="120"/>
      <c r="M32" s="114"/>
      <c r="N32" s="46"/>
      <c r="O32" s="21"/>
      <c r="P32" s="21"/>
      <c r="R32" s="110"/>
      <c r="S32" s="92"/>
      <c r="T32" s="209"/>
      <c r="U32" s="209"/>
      <c r="V32" s="209"/>
      <c r="W32" s="209"/>
      <c r="X32" s="111"/>
      <c r="AA32" s="195"/>
      <c r="AC32" s="104"/>
    </row>
    <row r="33" spans="2:30" s="121" customFormat="1" ht="9" customHeight="1">
      <c r="B33" s="53"/>
      <c r="J33" s="172"/>
      <c r="K33" s="42"/>
      <c r="L33" s="122"/>
      <c r="M33" s="123"/>
      <c r="N33" s="177"/>
      <c r="O33" s="27"/>
      <c r="P33" s="27"/>
      <c r="Q33" s="124"/>
      <c r="R33" s="125"/>
      <c r="S33" s="126"/>
      <c r="T33" s="210"/>
      <c r="U33" s="210"/>
      <c r="V33" s="210"/>
      <c r="W33" s="210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4" t="s">
        <v>39</v>
      </c>
      <c r="C34" s="132"/>
      <c r="J34" s="173"/>
      <c r="K34" s="43"/>
      <c r="L34" s="122"/>
      <c r="M34" s="123"/>
      <c r="N34" s="177"/>
      <c r="O34" s="27"/>
      <c r="P34" s="27"/>
      <c r="Q34" s="124"/>
      <c r="R34" s="125"/>
      <c r="S34" s="126"/>
      <c r="T34" s="210"/>
      <c r="U34" s="210"/>
      <c r="V34" s="210"/>
      <c r="W34" s="210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3"/>
      <c r="H35" s="131" t="s">
        <v>3</v>
      </c>
      <c r="I35" s="131" t="s">
        <v>43</v>
      </c>
      <c r="J35" s="173"/>
      <c r="K35" s="43" t="s">
        <v>1</v>
      </c>
      <c r="L35" s="133" t="s">
        <v>8</v>
      </c>
      <c r="M35" s="44" t="s">
        <v>23</v>
      </c>
      <c r="N35" s="178"/>
      <c r="O35" s="27"/>
      <c r="P35" s="27"/>
      <c r="Q35" s="124"/>
      <c r="R35" s="125"/>
      <c r="S35" s="36" t="s">
        <v>14</v>
      </c>
      <c r="T35" s="208"/>
      <c r="U35" s="208"/>
      <c r="V35" s="208"/>
      <c r="W35" s="208"/>
      <c r="X35" s="69"/>
      <c r="Y35" s="102" t="s">
        <v>15</v>
      </c>
      <c r="Z35" s="94"/>
      <c r="AA35" s="103" t="s">
        <v>31</v>
      </c>
      <c r="AB35" s="93"/>
      <c r="AC35" s="104" t="s">
        <v>33</v>
      </c>
      <c r="AD35" s="105" t="s">
        <v>19</v>
      </c>
    </row>
    <row r="36" spans="2:29" ht="9.75" customHeight="1" thickBot="1">
      <c r="B36" s="52"/>
      <c r="J36" s="171"/>
      <c r="K36" s="41"/>
      <c r="L36" s="120"/>
      <c r="M36" s="45"/>
      <c r="N36" s="4"/>
      <c r="O36" s="24"/>
      <c r="P36" s="24"/>
      <c r="R36" s="110"/>
      <c r="S36" s="92"/>
      <c r="T36" s="209"/>
      <c r="U36" s="209"/>
      <c r="V36" s="209"/>
      <c r="W36" s="209"/>
      <c r="X36" s="111"/>
      <c r="AA36" s="195"/>
      <c r="AC36" s="104"/>
    </row>
    <row r="37" spans="1:30" ht="24" customHeight="1">
      <c r="A37" s="296" t="s">
        <v>22</v>
      </c>
      <c r="B37" s="55" t="s">
        <v>58</v>
      </c>
      <c r="C37" s="107"/>
      <c r="D37" s="107"/>
      <c r="E37" s="108"/>
      <c r="F37" s="107"/>
      <c r="G37" s="235">
        <v>6</v>
      </c>
      <c r="H37" s="236"/>
      <c r="I37" s="233"/>
      <c r="J37" s="3" t="b">
        <v>0</v>
      </c>
      <c r="K37" s="39">
        <f aca="true" t="shared" si="13" ref="K37:K47">IF(J37=TRUE,G37,"")</f>
      </c>
      <c r="L37" s="237"/>
      <c r="M37" s="58">
        <v>1</v>
      </c>
      <c r="N37" s="46" t="b">
        <v>0</v>
      </c>
      <c r="O37" s="20">
        <f aca="true" t="shared" si="14" ref="O37:O47">IF(L37=1,IF(K37="",0,K37),0)</f>
        <v>0</v>
      </c>
      <c r="P37" s="185">
        <f aca="true" t="shared" si="15" ref="P37:P47">IF(L37=2,IF(K37="",0,K37),0)</f>
        <v>0</v>
      </c>
      <c r="Q37" s="190">
        <f aca="true" t="shared" si="16" ref="Q37:Q46">IF(U37,"SCEGLIERE!",IF(OR(X37,W37,V37),"ANNO ?",IF(S37&lt;&gt;"","ANTICIPO","")))</f>
      </c>
      <c r="R37" s="155"/>
      <c r="S37" s="56">
        <f aca="true" t="shared" si="17" ref="S37:S47">IF(AND(V37=FALSE,X37=FALSE,M37-L37=1,J37,N37=FALSE),K37,"")</f>
      </c>
      <c r="T37" s="202"/>
      <c r="U37" s="202" t="b">
        <f aca="true" t="shared" si="18" ref="U37:U47">IF(AND(N37,J37=FALSE),TRUE,FALSE)</f>
        <v>0</v>
      </c>
      <c r="V37" s="202" t="b">
        <f aca="true" t="shared" si="19" ref="V37:V47">IF(AND(J37,N37=FALSE,L37&lt;$L$6),TRUE,FALSE)</f>
        <v>0</v>
      </c>
      <c r="W37" s="202" t="b">
        <f aca="true" t="shared" si="20" ref="W37:W47">IF(AND(N37,L37&gt;$L$6-$S$6+1),TRUE,FALSE)</f>
        <v>0</v>
      </c>
      <c r="X37" s="202" t="b">
        <f aca="true" t="shared" si="21" ref="X37:X47">IF(OR(AND(J37=FALSE,N37=FALSE),AND(L37&lt;3,L37&gt;0)),FALSE,TRUE)</f>
        <v>0</v>
      </c>
      <c r="Y37" s="56">
        <f aca="true" t="shared" si="22" ref="Y37:Y47">IF(Q37="ANTICIPO",1,"")</f>
      </c>
      <c r="Z37" s="203" t="b">
        <f>AND(N37,X37=FALSE,L37&lt;$L$6,L37&lt;M37)</f>
        <v>0</v>
      </c>
      <c r="AA37" s="194">
        <f>IF(Z37,1,"")</f>
      </c>
      <c r="AB37" s="203" t="b">
        <f aca="true" t="shared" si="23" ref="AB37:AB47">AND(J37,X37=FALSE,L37&lt;M37-1)</f>
        <v>0</v>
      </c>
      <c r="AC37" s="156">
        <f>IF(AB37,"NON CONSENTITO","")</f>
      </c>
      <c r="AD37" s="109">
        <f aca="true" t="shared" si="24" ref="AD37:AD47">IF(AND(N37,X37=FALSE,L37=$L$6,$S$6=1),K37,"")</f>
      </c>
    </row>
    <row r="38" spans="1:30" ht="24" customHeight="1">
      <c r="A38" s="297"/>
      <c r="B38" s="55" t="s">
        <v>79</v>
      </c>
      <c r="C38" s="134"/>
      <c r="D38" s="134"/>
      <c r="E38" s="108"/>
      <c r="F38" s="107"/>
      <c r="G38" s="235">
        <v>6</v>
      </c>
      <c r="H38" s="236"/>
      <c r="I38" s="233"/>
      <c r="J38" s="3" t="b">
        <v>0</v>
      </c>
      <c r="K38" s="39">
        <f t="shared" si="13"/>
      </c>
      <c r="L38" s="237"/>
      <c r="M38" s="58">
        <v>1</v>
      </c>
      <c r="N38" s="46" t="b">
        <v>0</v>
      </c>
      <c r="O38" s="20">
        <f t="shared" si="14"/>
        <v>0</v>
      </c>
      <c r="P38" s="22">
        <f t="shared" si="15"/>
        <v>0</v>
      </c>
      <c r="Q38" s="190">
        <f t="shared" si="16"/>
      </c>
      <c r="R38" s="155"/>
      <c r="S38" s="56">
        <f t="shared" si="17"/>
      </c>
      <c r="T38" s="202"/>
      <c r="U38" s="202" t="b">
        <f t="shared" si="18"/>
        <v>0</v>
      </c>
      <c r="V38" s="202" t="b">
        <f t="shared" si="19"/>
        <v>0</v>
      </c>
      <c r="W38" s="202" t="b">
        <f t="shared" si="20"/>
        <v>0</v>
      </c>
      <c r="X38" s="202" t="b">
        <f t="shared" si="21"/>
        <v>0</v>
      </c>
      <c r="Y38" s="56">
        <f t="shared" si="22"/>
      </c>
      <c r="Z38" s="203" t="b">
        <f aca="true" t="shared" si="25" ref="Z38:Z50">AND(N38,X38=FALSE,L38&lt;$L$6,L38&lt;M38)</f>
        <v>0</v>
      </c>
      <c r="AA38" s="194">
        <f aca="true" t="shared" si="26" ref="AA38:AA47">IF(Z38,1,"")</f>
      </c>
      <c r="AB38" s="203" t="b">
        <f t="shared" si="23"/>
        <v>0</v>
      </c>
      <c r="AC38" s="156">
        <f aca="true" t="shared" si="27" ref="AC38:AC47">IF(AB38,"NON CONSENTITO","")</f>
      </c>
      <c r="AD38" s="109">
        <f t="shared" si="24"/>
      </c>
    </row>
    <row r="39" spans="1:30" ht="24" customHeight="1">
      <c r="A39" s="297"/>
      <c r="B39" s="55" t="s">
        <v>80</v>
      </c>
      <c r="C39" s="107"/>
      <c r="D39" s="107"/>
      <c r="E39" s="108"/>
      <c r="F39" s="107"/>
      <c r="G39" s="235">
        <v>6</v>
      </c>
      <c r="H39" s="236"/>
      <c r="I39" s="233"/>
      <c r="J39" s="3" t="b">
        <v>0</v>
      </c>
      <c r="K39" s="39">
        <f>IF(J39=TRUE,G39,"")</f>
      </c>
      <c r="L39" s="237"/>
      <c r="M39" s="58">
        <v>2</v>
      </c>
      <c r="N39" s="46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6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 t="shared" si="20"/>
        <v>0</v>
      </c>
      <c r="X39" s="202" t="b">
        <f t="shared" si="21"/>
        <v>0</v>
      </c>
      <c r="Y39" s="56">
        <f t="shared" si="22"/>
      </c>
      <c r="Z39" s="203" t="b">
        <f>AND(N39,X39=FALSE,L39&lt;$L$6,L39&lt;M39)</f>
        <v>0</v>
      </c>
      <c r="AA39" s="194">
        <f t="shared" si="26"/>
      </c>
      <c r="AB39" s="203" t="b">
        <f>AND(J39,X39=FALSE,L39&lt;M39-1)</f>
        <v>0</v>
      </c>
      <c r="AC39" s="156">
        <f t="shared" si="27"/>
      </c>
      <c r="AD39" s="109">
        <f t="shared" si="24"/>
      </c>
    </row>
    <row r="40" spans="1:30" ht="24" customHeight="1">
      <c r="A40" s="298"/>
      <c r="B40" s="55" t="s">
        <v>81</v>
      </c>
      <c r="C40" s="107"/>
      <c r="D40" s="107"/>
      <c r="E40" s="108"/>
      <c r="F40" s="107"/>
      <c r="G40" s="235">
        <v>6</v>
      </c>
      <c r="H40" s="236"/>
      <c r="I40" s="233"/>
      <c r="J40" s="3" t="b">
        <v>0</v>
      </c>
      <c r="K40" s="39">
        <f>IF(J40=TRUE,G40,"")</f>
      </c>
      <c r="L40" s="237"/>
      <c r="M40" s="58">
        <v>1</v>
      </c>
      <c r="N40" s="46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6">
        <f>IF(AND(V40=FALSE,X40=FALSE,M40-L40=1,J40,N40=FALSE),K40,"")</f>
      </c>
      <c r="T40" s="202"/>
      <c r="U40" s="202" t="b">
        <f>IF(AND(N40,J40=FALSE),TRUE,FALSE)</f>
        <v>0</v>
      </c>
      <c r="V40" s="202" t="b">
        <f>IF(AND(J40,N40=FALSE,L40&lt;$L$6),TRUE,FALSE)</f>
        <v>0</v>
      </c>
      <c r="W40" s="202" t="b">
        <f t="shared" si="20"/>
        <v>0</v>
      </c>
      <c r="X40" s="202" t="b">
        <f t="shared" si="21"/>
        <v>0</v>
      </c>
      <c r="Y40" s="56">
        <f t="shared" si="22"/>
      </c>
      <c r="Z40" s="203" t="b">
        <f>AND(N40,X40=FALSE,L40&lt;$L$6,L40&lt;M40)</f>
        <v>0</v>
      </c>
      <c r="AA40" s="194">
        <f t="shared" si="26"/>
      </c>
      <c r="AB40" s="203" t="b">
        <f>AND(J40,X40=FALSE,L40&lt;M40-1)</f>
        <v>0</v>
      </c>
      <c r="AC40" s="156">
        <f t="shared" si="27"/>
      </c>
      <c r="AD40" s="109">
        <f t="shared" si="24"/>
      </c>
    </row>
    <row r="41" spans="1:30" ht="24" customHeight="1">
      <c r="A41" s="298"/>
      <c r="B41" s="55" t="s">
        <v>85</v>
      </c>
      <c r="C41" s="107"/>
      <c r="D41" s="107"/>
      <c r="E41" s="108"/>
      <c r="F41" s="107"/>
      <c r="G41" s="235">
        <v>6</v>
      </c>
      <c r="H41" s="236"/>
      <c r="I41" s="233"/>
      <c r="J41" s="3" t="b">
        <v>0</v>
      </c>
      <c r="K41" s="39">
        <f t="shared" si="13"/>
      </c>
      <c r="L41" s="237"/>
      <c r="M41" s="58">
        <v>2</v>
      </c>
      <c r="N41" s="46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6">
        <f t="shared" si="17"/>
      </c>
      <c r="T41" s="202"/>
      <c r="U41" s="202" t="b">
        <f t="shared" si="18"/>
        <v>0</v>
      </c>
      <c r="V41" s="202" t="b">
        <f t="shared" si="19"/>
        <v>0</v>
      </c>
      <c r="W41" s="202" t="b">
        <f t="shared" si="20"/>
        <v>0</v>
      </c>
      <c r="X41" s="202" t="b">
        <f t="shared" si="21"/>
        <v>0</v>
      </c>
      <c r="Y41" s="56">
        <f t="shared" si="22"/>
      </c>
      <c r="Z41" s="203" t="b">
        <f t="shared" si="25"/>
        <v>0</v>
      </c>
      <c r="AA41" s="194">
        <f t="shared" si="26"/>
      </c>
      <c r="AB41" s="203" t="b">
        <f t="shared" si="23"/>
        <v>0</v>
      </c>
      <c r="AC41" s="156">
        <f t="shared" si="27"/>
      </c>
      <c r="AD41" s="109">
        <f t="shared" si="24"/>
      </c>
    </row>
    <row r="42" spans="1:30" ht="24" customHeight="1">
      <c r="A42" s="298"/>
      <c r="B42" s="55" t="s">
        <v>51</v>
      </c>
      <c r="C42" s="106"/>
      <c r="D42" s="134"/>
      <c r="E42" s="108"/>
      <c r="F42" s="107"/>
      <c r="G42" s="235">
        <v>6</v>
      </c>
      <c r="H42" s="236"/>
      <c r="I42" s="233"/>
      <c r="J42" s="3" t="b">
        <v>0</v>
      </c>
      <c r="K42" s="39">
        <f>IF(J42=TRUE,G42,"")</f>
      </c>
      <c r="L42" s="237"/>
      <c r="M42" s="58">
        <v>1</v>
      </c>
      <c r="N42" s="46" t="b">
        <v>0</v>
      </c>
      <c r="O42" s="20">
        <f>IF(L42=1,IF(K42="",0,K42),0)</f>
        <v>0</v>
      </c>
      <c r="P42" s="22">
        <f>IF(L42=2,IF(K42="",0,K42),0)</f>
        <v>0</v>
      </c>
      <c r="Q42" s="190">
        <f>IF(U42,"SCEGLIERE!",IF(OR(X42,W42,V42),"ANNO ?",IF(S42&lt;&gt;"","ANTICIPO","")))</f>
      </c>
      <c r="R42" s="155"/>
      <c r="S42" s="56">
        <f>IF(AND(V42=FALSE,X42=FALSE,M42-L42=1,J42,N42=FALSE),K42,"")</f>
      </c>
      <c r="T42" s="202"/>
      <c r="U42" s="202" t="b">
        <f>IF(AND(N42,J42=FALSE),TRUE,FALSE)</f>
        <v>0</v>
      </c>
      <c r="V42" s="202" t="b">
        <f>IF(AND(J42,N42=FALSE,L42&lt;$L$6),TRUE,FALSE)</f>
        <v>0</v>
      </c>
      <c r="W42" s="202" t="b">
        <f t="shared" si="20"/>
        <v>0</v>
      </c>
      <c r="X42" s="202" t="b">
        <f t="shared" si="21"/>
        <v>0</v>
      </c>
      <c r="Y42" s="56">
        <f t="shared" si="22"/>
      </c>
      <c r="Z42" s="203" t="b">
        <f>AND(N42,X42=FALSE,L42&lt;$L$6,L42&lt;M42)</f>
        <v>0</v>
      </c>
      <c r="AA42" s="194">
        <f t="shared" si="26"/>
      </c>
      <c r="AB42" s="203" t="b">
        <f>AND(J42,X42=FALSE,L42&lt;M42-1)</f>
        <v>0</v>
      </c>
      <c r="AC42" s="156">
        <f t="shared" si="27"/>
      </c>
      <c r="AD42" s="109">
        <f t="shared" si="24"/>
      </c>
    </row>
    <row r="43" spans="1:30" ht="24" customHeight="1">
      <c r="A43" s="298"/>
      <c r="B43" s="55" t="s">
        <v>60</v>
      </c>
      <c r="C43" s="106"/>
      <c r="D43" s="134"/>
      <c r="E43" s="108"/>
      <c r="F43" s="107"/>
      <c r="G43" s="235">
        <v>12</v>
      </c>
      <c r="H43" s="236"/>
      <c r="I43" s="233"/>
      <c r="J43" s="3" t="b">
        <v>0</v>
      </c>
      <c r="K43" s="39">
        <f>IF(J43=TRUE,G43,"")</f>
      </c>
      <c r="L43" s="237"/>
      <c r="M43" s="58">
        <v>1</v>
      </c>
      <c r="N43" s="46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6">
        <f>IF(AND(V43=FALSE,X43=FALSE,M43-L43=1,J43,N43=FALSE),K43,"")</f>
      </c>
      <c r="T43" s="202"/>
      <c r="U43" s="202" t="b">
        <f>IF(AND(N43,J43=FALSE),TRUE,FALSE)</f>
        <v>0</v>
      </c>
      <c r="V43" s="202" t="b">
        <f>IF(AND(J43,N43=FALSE,L43&lt;$L$6),TRUE,FALSE)</f>
        <v>0</v>
      </c>
      <c r="W43" s="202" t="b">
        <f t="shared" si="20"/>
        <v>0</v>
      </c>
      <c r="X43" s="202" t="b">
        <f t="shared" si="21"/>
        <v>0</v>
      </c>
      <c r="Y43" s="56">
        <f t="shared" si="22"/>
      </c>
      <c r="Z43" s="203" t="b">
        <f>AND(N43,X43=FALSE,L43&lt;$L$6,L43&lt;M43)</f>
        <v>0</v>
      </c>
      <c r="AA43" s="194">
        <f t="shared" si="26"/>
      </c>
      <c r="AB43" s="203" t="b">
        <f>AND(J43,X43=FALSE,L43&lt;M43-1)</f>
        <v>0</v>
      </c>
      <c r="AC43" s="156">
        <f t="shared" si="27"/>
      </c>
      <c r="AD43" s="109">
        <f t="shared" si="24"/>
      </c>
    </row>
    <row r="44" spans="1:30" ht="24" customHeight="1">
      <c r="A44" s="298"/>
      <c r="B44" s="55" t="s">
        <v>84</v>
      </c>
      <c r="C44" s="106"/>
      <c r="D44" s="134"/>
      <c r="E44" s="108"/>
      <c r="F44" s="107"/>
      <c r="G44" s="235">
        <v>6</v>
      </c>
      <c r="H44" s="236"/>
      <c r="I44" s="233"/>
      <c r="J44" s="3" t="b">
        <v>0</v>
      </c>
      <c r="K44" s="39">
        <f>IF(J44=TRUE,G44,"")</f>
      </c>
      <c r="L44" s="237"/>
      <c r="M44" s="58">
        <v>1</v>
      </c>
      <c r="N44" s="46" t="b">
        <v>0</v>
      </c>
      <c r="O44" s="20">
        <f>IF(L44=1,IF(K44="",0,K44),0)</f>
        <v>0</v>
      </c>
      <c r="P44" s="22">
        <f>IF(L44=2,IF(K44="",0,K44),0)</f>
        <v>0</v>
      </c>
      <c r="Q44" s="190">
        <f>IF(U44,"SCEGLIERE!",IF(OR(X44,W44,V44),"ANNO ?",IF(S44&lt;&gt;"","ANTICIPO","")))</f>
      </c>
      <c r="R44" s="155"/>
      <c r="S44" s="56">
        <f>IF(AND(V44=FALSE,X44=FALSE,M44-L44=1,J44,N44=FALSE),K44,"")</f>
      </c>
      <c r="T44" s="202"/>
      <c r="U44" s="202" t="b">
        <f>IF(AND(N44,J44=FALSE),TRUE,FALSE)</f>
        <v>0</v>
      </c>
      <c r="V44" s="202" t="b">
        <f>IF(AND(J44,N44=FALSE,L44&lt;$L$6),TRUE,FALSE)</f>
        <v>0</v>
      </c>
      <c r="W44" s="202" t="b">
        <f t="shared" si="20"/>
        <v>0</v>
      </c>
      <c r="X44" s="202" t="b">
        <f t="shared" si="21"/>
        <v>0</v>
      </c>
      <c r="Y44" s="56">
        <f t="shared" si="22"/>
      </c>
      <c r="Z44" s="203" t="b">
        <f>AND(N44,X44=FALSE,L44&lt;$L$6,L44&lt;M44)</f>
        <v>0</v>
      </c>
      <c r="AA44" s="194">
        <f t="shared" si="26"/>
      </c>
      <c r="AB44" s="203" t="b">
        <f>AND(J44,X44=FALSE,L44&lt;M44-1)</f>
        <v>0</v>
      </c>
      <c r="AC44" s="156">
        <f t="shared" si="27"/>
      </c>
      <c r="AD44" s="109">
        <f t="shared" si="24"/>
      </c>
    </row>
    <row r="45" spans="1:30" ht="24" customHeight="1">
      <c r="A45" s="298"/>
      <c r="B45" s="55" t="s">
        <v>61</v>
      </c>
      <c r="C45" s="106"/>
      <c r="D45" s="134"/>
      <c r="E45" s="108"/>
      <c r="F45" s="107"/>
      <c r="G45" s="235">
        <v>9</v>
      </c>
      <c r="H45" s="236"/>
      <c r="I45" s="233"/>
      <c r="J45" s="3" t="b">
        <v>0</v>
      </c>
      <c r="K45" s="39">
        <f t="shared" si="13"/>
      </c>
      <c r="L45" s="237"/>
      <c r="M45" s="58">
        <v>1</v>
      </c>
      <c r="N45" s="46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6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6">
        <f t="shared" si="22"/>
      </c>
      <c r="Z45" s="203" t="b">
        <f t="shared" si="25"/>
        <v>0</v>
      </c>
      <c r="AA45" s="194">
        <f t="shared" si="26"/>
      </c>
      <c r="AB45" s="203" t="b">
        <f t="shared" si="23"/>
        <v>0</v>
      </c>
      <c r="AC45" s="156">
        <f t="shared" si="27"/>
      </c>
      <c r="AD45" s="109">
        <f t="shared" si="24"/>
      </c>
    </row>
    <row r="46" spans="1:30" ht="24" customHeight="1">
      <c r="A46" s="298"/>
      <c r="B46" s="55" t="s">
        <v>59</v>
      </c>
      <c r="C46" s="106"/>
      <c r="D46" s="134"/>
      <c r="E46" s="108"/>
      <c r="F46" s="107"/>
      <c r="G46" s="235">
        <v>6</v>
      </c>
      <c r="H46" s="236"/>
      <c r="I46" s="233"/>
      <c r="J46" s="3" t="b">
        <v>0</v>
      </c>
      <c r="K46" s="39">
        <f t="shared" si="13"/>
      </c>
      <c r="L46" s="237"/>
      <c r="M46" s="58">
        <v>1</v>
      </c>
      <c r="N46" s="46" t="b">
        <v>0</v>
      </c>
      <c r="O46" s="20">
        <f t="shared" si="14"/>
        <v>0</v>
      </c>
      <c r="P46" s="22">
        <f t="shared" si="15"/>
        <v>0</v>
      </c>
      <c r="Q46" s="190">
        <f t="shared" si="16"/>
      </c>
      <c r="R46" s="155"/>
      <c r="S46" s="56">
        <f t="shared" si="17"/>
      </c>
      <c r="T46" s="202"/>
      <c r="U46" s="202" t="b">
        <f t="shared" si="18"/>
        <v>0</v>
      </c>
      <c r="V46" s="202" t="b">
        <f t="shared" si="19"/>
        <v>0</v>
      </c>
      <c r="W46" s="202" t="b">
        <f t="shared" si="20"/>
        <v>0</v>
      </c>
      <c r="X46" s="202" t="b">
        <f t="shared" si="21"/>
        <v>0</v>
      </c>
      <c r="Y46" s="56">
        <f t="shared" si="22"/>
      </c>
      <c r="Z46" s="203" t="b">
        <f t="shared" si="25"/>
        <v>0</v>
      </c>
      <c r="AA46" s="194">
        <f t="shared" si="26"/>
      </c>
      <c r="AB46" s="203" t="b">
        <f t="shared" si="23"/>
        <v>0</v>
      </c>
      <c r="AC46" s="156">
        <f t="shared" si="27"/>
      </c>
      <c r="AD46" s="109">
        <f t="shared" si="24"/>
      </c>
    </row>
    <row r="47" spans="1:30" ht="24" customHeight="1">
      <c r="A47" s="298"/>
      <c r="B47" s="55" t="s">
        <v>82</v>
      </c>
      <c r="C47" s="106"/>
      <c r="D47" s="134"/>
      <c r="E47" s="108"/>
      <c r="F47" s="107"/>
      <c r="G47" s="235">
        <v>6</v>
      </c>
      <c r="H47" s="236"/>
      <c r="I47" s="233"/>
      <c r="J47" s="3" t="b">
        <v>0</v>
      </c>
      <c r="K47" s="39">
        <f t="shared" si="13"/>
      </c>
      <c r="L47" s="237"/>
      <c r="M47" s="58">
        <v>2</v>
      </c>
      <c r="N47" s="46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6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6">
        <f t="shared" si="22"/>
      </c>
      <c r="Z47" s="203" t="b">
        <f t="shared" si="25"/>
        <v>0</v>
      </c>
      <c r="AA47" s="194">
        <f t="shared" si="26"/>
      </c>
      <c r="AB47" s="203" t="b">
        <f t="shared" si="23"/>
        <v>0</v>
      </c>
      <c r="AC47" s="156">
        <f t="shared" si="27"/>
      </c>
      <c r="AD47" s="109">
        <f t="shared" si="24"/>
      </c>
    </row>
    <row r="48" spans="1:30" ht="15.75" customHeight="1">
      <c r="A48" s="298"/>
      <c r="B48" s="187" t="s">
        <v>73</v>
      </c>
      <c r="C48" s="106"/>
      <c r="D48" s="106"/>
      <c r="E48" s="188"/>
      <c r="F48" s="107"/>
      <c r="G48" s="106"/>
      <c r="H48" s="205"/>
      <c r="I48" s="108"/>
      <c r="J48" s="3"/>
      <c r="K48" s="39"/>
      <c r="L48" s="26"/>
      <c r="M48" s="58"/>
      <c r="N48" s="46"/>
      <c r="O48" s="20"/>
      <c r="P48" s="22"/>
      <c r="Q48" s="190"/>
      <c r="R48" s="155"/>
      <c r="S48" s="56"/>
      <c r="T48" s="202"/>
      <c r="U48" s="202"/>
      <c r="V48" s="202"/>
      <c r="W48" s="202"/>
      <c r="X48" s="202"/>
      <c r="Y48" s="56"/>
      <c r="Z48" s="203"/>
      <c r="AA48" s="194"/>
      <c r="AB48" s="204"/>
      <c r="AC48" s="156"/>
      <c r="AD48" s="109"/>
    </row>
    <row r="49" spans="1:30" ht="24" customHeight="1">
      <c r="A49" s="298"/>
      <c r="B49" s="277"/>
      <c r="C49" s="278"/>
      <c r="D49" s="278"/>
      <c r="E49" s="279"/>
      <c r="F49" s="107"/>
      <c r="G49" s="232"/>
      <c r="H49" s="236"/>
      <c r="I49" s="233"/>
      <c r="J49" s="182" t="b">
        <v>0</v>
      </c>
      <c r="K49" s="234"/>
      <c r="L49" s="237"/>
      <c r="M49" s="58"/>
      <c r="N49" s="46" t="b">
        <v>0</v>
      </c>
      <c r="O49" s="20">
        <f>IF(AND(OR(J49=TRUE,N49=TRUE),L49=1),IF(K49="",0,K49),0)</f>
        <v>0</v>
      </c>
      <c r="P49" s="22">
        <f>IF(AND(OR(J49=TRUE,N49=TRUE),L49=2),IF(K49="",0,K49),0)</f>
        <v>0</v>
      </c>
      <c r="Q49" s="190">
        <f>IF(U49,"SCEGLIERE!",IF(OR(X49,W49,V49),"ANNO ?",""))</f>
      </c>
      <c r="R49" s="152">
        <f>IF(T49,"CFU ?","")</f>
      </c>
      <c r="S49" s="56"/>
      <c r="T49" s="202" t="b">
        <f>IF(AND(J49,OR(K49&lt;1,K49&gt;12)),TRUE,FALSE)</f>
        <v>0</v>
      </c>
      <c r="U49" s="202" t="b">
        <f>IF(AND(N49,J49=FALSE),TRUE,FALSE)</f>
        <v>0</v>
      </c>
      <c r="V49" s="202" t="b">
        <f>IF(AND(J49,N49=FALSE,L49&lt;$L$6),TRUE,FALSE)</f>
        <v>0</v>
      </c>
      <c r="W49" s="202" t="b">
        <f>IF(AND(N49,L49&gt;$L$6-$S$6+1),TRUE,FALSE)</f>
        <v>0</v>
      </c>
      <c r="X49" s="202" t="b">
        <f>IF(OR(AND(J49=FALSE,N49=FALSE),AND(L49&lt;3,L49&gt;0)),FALSE,TRUE)</f>
        <v>0</v>
      </c>
      <c r="Y49" s="56"/>
      <c r="Z49" s="203" t="b">
        <f t="shared" si="25"/>
        <v>0</v>
      </c>
      <c r="AA49" s="194">
        <f>IF(Z49,1,"")</f>
      </c>
      <c r="AB49" s="203"/>
      <c r="AC49" s="156"/>
      <c r="AD49" s="109">
        <f>IF(AND(N49,X49=FALSE,L49=$L$6,$S$6=1),K49,"")</f>
      </c>
    </row>
    <row r="50" spans="1:30" ht="24" customHeight="1" thickBot="1">
      <c r="A50" s="299"/>
      <c r="B50" s="277"/>
      <c r="C50" s="278"/>
      <c r="D50" s="278"/>
      <c r="E50" s="279"/>
      <c r="F50" s="107"/>
      <c r="G50" s="232"/>
      <c r="H50" s="236"/>
      <c r="I50" s="233"/>
      <c r="J50" s="182" t="b">
        <v>0</v>
      </c>
      <c r="K50" s="234"/>
      <c r="L50" s="237"/>
      <c r="M50" s="58"/>
      <c r="N50" s="46" t="b">
        <v>0</v>
      </c>
      <c r="O50" s="23">
        <f>IF(AND(OR(J50=TRUE,N50=TRUE),L50=1),IF(K50="",0,K50),0)</f>
        <v>0</v>
      </c>
      <c r="P50" s="25">
        <f>IF(AND(OR(J50=TRUE,N50=TRUE),L50=2),IF(K50="",0,K50),0)</f>
        <v>0</v>
      </c>
      <c r="Q50" s="190">
        <f>IF(U50,"SCEGLIERE!",IF(OR(X50,W50,V50),"ANNO ?",""))</f>
      </c>
      <c r="R50" s="152">
        <f>IF(T50,"CFU ?","")</f>
      </c>
      <c r="S50" s="56"/>
      <c r="T50" s="202" t="b">
        <f>IF(AND(J50,OR(K50&lt;1,K50&gt;12)),TRUE,FALSE)</f>
        <v>0</v>
      </c>
      <c r="U50" s="202" t="b">
        <f>IF(AND(N50,J50=FALSE),TRUE,FALSE)</f>
        <v>0</v>
      </c>
      <c r="V50" s="202" t="b">
        <f>IF(AND(J50,N50=FALSE,L50&lt;$L$6),TRUE,FALSE)</f>
        <v>0</v>
      </c>
      <c r="W50" s="202" t="b">
        <f>IF(AND(N50,L50&gt;$L$6-$S$6+1),TRUE,FALSE)</f>
        <v>0</v>
      </c>
      <c r="X50" s="202" t="b">
        <f>IF(OR(AND(J50=FALSE,N50=FALSE),AND(L50&lt;3,L50&gt;0)),FALSE,TRUE)</f>
        <v>0</v>
      </c>
      <c r="Y50" s="56"/>
      <c r="Z50" s="203" t="b">
        <f t="shared" si="25"/>
        <v>0</v>
      </c>
      <c r="AA50" s="194">
        <f>IF(Z50,1,"")</f>
      </c>
      <c r="AB50" s="203"/>
      <c r="AC50" s="156"/>
      <c r="AD50" s="109">
        <f>IF(AND(N50,X50=FALSE,L50=$L$6,$S$6=1),K50,"")</f>
      </c>
    </row>
    <row r="51" spans="1:29" ht="12" customHeight="1" thickBot="1">
      <c r="A51" s="135"/>
      <c r="B51" s="136"/>
      <c r="C51" s="136"/>
      <c r="D51" s="136"/>
      <c r="E51" s="136"/>
      <c r="F51" s="12"/>
      <c r="G51" s="12"/>
      <c r="H51" s="12"/>
      <c r="I51" s="113"/>
      <c r="J51" s="3"/>
      <c r="K51" s="109"/>
      <c r="L51" s="109"/>
      <c r="M51" s="45"/>
      <c r="N51" s="46"/>
      <c r="O51" s="21"/>
      <c r="P51" s="21"/>
      <c r="R51" s="110"/>
      <c r="S51" s="67"/>
      <c r="T51" s="69"/>
      <c r="U51" s="69"/>
      <c r="V51" s="69"/>
      <c r="W51" s="69"/>
      <c r="Y51" s="67"/>
      <c r="Z51" s="35"/>
      <c r="AA51" s="195"/>
      <c r="AC51" s="104"/>
    </row>
    <row r="52" spans="1:30" ht="15" customHeight="1" thickBot="1">
      <c r="A52" s="137" t="s">
        <v>71</v>
      </c>
      <c r="I52" s="250" t="s">
        <v>1</v>
      </c>
      <c r="J52" s="251"/>
      <c r="K52" s="256">
        <f>SUM(K37:K48)+IF(OR(J49=TRUE,N49=TRUE),K49,0)+IF(OR(J50=TRUE,N50=TRUE),K50,0)</f>
        <v>0</v>
      </c>
      <c r="L52" s="199" t="str">
        <f>IF(AND(K52&gt;=12,K52&lt;=15),"SI","NO")</f>
        <v>NO</v>
      </c>
      <c r="M52" s="257"/>
      <c r="N52" s="46"/>
      <c r="O52" s="16">
        <f>SUM(O37:O50)</f>
        <v>0</v>
      </c>
      <c r="P52" s="17">
        <f>SUM(P37:P50)</f>
        <v>0</v>
      </c>
      <c r="Q52" s="258">
        <f>IF(OR(U37:X47,T49:X50),"ANNI, SCEGLI o CFU ?","")</f>
      </c>
      <c r="R52" s="152"/>
      <c r="S52" s="149"/>
      <c r="T52" s="212"/>
      <c r="U52" s="212"/>
      <c r="V52" s="212"/>
      <c r="W52" s="212"/>
      <c r="X52" s="111"/>
      <c r="Y52" s="149"/>
      <c r="Z52" s="35"/>
      <c r="AA52" s="198"/>
      <c r="AB52" s="35"/>
      <c r="AC52" s="259">
        <f>IF(OR(AB37:AB47),"Ant. N.C.","")</f>
      </c>
      <c r="AD52" s="255">
        <f>SUM(AD37:AD50)</f>
        <v>0</v>
      </c>
    </row>
    <row r="53" spans="1:29" ht="14.25" thickBot="1">
      <c r="A53" s="137"/>
      <c r="D53" s="94"/>
      <c r="J53" s="171"/>
      <c r="K53" s="109"/>
      <c r="L53" s="138"/>
      <c r="M53" s="45"/>
      <c r="N53" s="4"/>
      <c r="O53" s="28"/>
      <c r="P53" s="28"/>
      <c r="AC53" s="308" t="s">
        <v>62</v>
      </c>
    </row>
    <row r="54" spans="1:29" ht="14.25" thickBot="1">
      <c r="A54" s="137"/>
      <c r="H54" s="260" t="s">
        <v>37</v>
      </c>
      <c r="I54" s="261" t="s">
        <v>2</v>
      </c>
      <c r="J54" s="262"/>
      <c r="K54" s="139">
        <f>SUM(K31,K52)</f>
        <v>108</v>
      </c>
      <c r="L54" s="138"/>
      <c r="M54" s="257"/>
      <c r="N54" s="4"/>
      <c r="O54" s="31">
        <f>SUM(O31,O52,O71)</f>
        <v>0</v>
      </c>
      <c r="P54" s="32">
        <f>SUM(P31,P52,P71)</f>
        <v>12</v>
      </c>
      <c r="Q54" s="312" t="s">
        <v>49</v>
      </c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C54" s="309"/>
    </row>
    <row r="55" spans="1:29" ht="14.25" thickBot="1">
      <c r="A55" s="137"/>
      <c r="H55" s="138"/>
      <c r="I55" s="138"/>
      <c r="J55" s="174"/>
      <c r="K55" s="199" t="str">
        <f>IF(AND(K54&gt;=120,K54&lt;=123),"SI","NO")</f>
        <v>NO</v>
      </c>
      <c r="L55" s="120"/>
      <c r="M55" s="257"/>
      <c r="N55" s="179"/>
      <c r="O55" s="200" t="str">
        <f>IF(OR(Q6&gt;1,O54-IF(Q6=1,AC55,0)&lt;=O56),"SI","NO")</f>
        <v>SI</v>
      </c>
      <c r="P55" s="201" t="str">
        <f>IF(P54-K29-IF(Q6=2,AC55,0)&lt;=P56,"SI","NO")</f>
        <v>SI</v>
      </c>
      <c r="Q55" s="314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5"/>
      <c r="AC55" s="140">
        <f>SUM(AD71,AD52,AD31)</f>
        <v>0</v>
      </c>
    </row>
    <row r="56" spans="10:29" ht="6.75" customHeight="1">
      <c r="J56" s="171"/>
      <c r="K56" s="82"/>
      <c r="L56" s="120"/>
      <c r="M56" s="45"/>
      <c r="N56" s="179"/>
      <c r="O56" s="59">
        <f>IF(L6=1,S58,S58)</f>
        <v>120</v>
      </c>
      <c r="P56" s="59">
        <f>IF(L6=2,S58,S58)</f>
        <v>120</v>
      </c>
      <c r="Q56" s="141"/>
      <c r="R56" s="142"/>
      <c r="S56" s="143"/>
      <c r="T56" s="211"/>
      <c r="U56" s="211"/>
      <c r="V56" s="211"/>
      <c r="W56" s="211"/>
      <c r="X56" s="144"/>
      <c r="Y56" s="143"/>
      <c r="Z56" s="145"/>
      <c r="AA56" s="197"/>
      <c r="AB56" s="145"/>
      <c r="AC56" s="146"/>
    </row>
    <row r="57" spans="10:29" ht="9" customHeight="1" thickBot="1">
      <c r="J57" s="171"/>
      <c r="K57" s="82"/>
      <c r="L57" s="120"/>
      <c r="M57" s="45"/>
      <c r="N57" s="179"/>
      <c r="O57" s="5"/>
      <c r="P57" s="5"/>
      <c r="Q57" s="147"/>
      <c r="R57" s="148"/>
      <c r="S57" s="149"/>
      <c r="T57" s="212"/>
      <c r="U57" s="212"/>
      <c r="V57" s="212"/>
      <c r="W57" s="212"/>
      <c r="X57" s="111"/>
      <c r="Y57" s="149"/>
      <c r="Z57" s="35"/>
      <c r="AA57" s="198"/>
      <c r="AB57" s="35"/>
      <c r="AC57" s="146"/>
    </row>
    <row r="58" spans="10:30" ht="13.5" thickBot="1">
      <c r="J58" s="171"/>
      <c r="K58" s="82"/>
      <c r="L58" s="120"/>
      <c r="M58" s="45"/>
      <c r="N58" s="179"/>
      <c r="O58" s="220" t="s">
        <v>50</v>
      </c>
      <c r="P58" s="150">
        <f>SUM(Y14:Y29,Y37:Y50)</f>
        <v>0</v>
      </c>
      <c r="Q58" s="151" t="str">
        <f>IF(P59&lt;=Y8,"OK","TROPPI ANTICIPI")</f>
        <v>OK</v>
      </c>
      <c r="S58" s="270">
        <f>IF(P58&gt;0,120,120)</f>
        <v>120</v>
      </c>
      <c r="T58" s="213"/>
      <c r="U58" s="213"/>
      <c r="V58" s="213"/>
      <c r="W58" s="213"/>
      <c r="X58" s="206"/>
      <c r="Y58" s="271" t="s">
        <v>46</v>
      </c>
      <c r="Z58" s="149"/>
      <c r="AA58" s="153"/>
      <c r="AB58" s="70"/>
      <c r="AC58" s="153"/>
      <c r="AD58" s="104"/>
    </row>
    <row r="59" spans="10:29" ht="32.25" customHeight="1" thickBot="1">
      <c r="J59" s="171"/>
      <c r="K59" s="82"/>
      <c r="L59" s="154"/>
      <c r="M59" s="45"/>
      <c r="N59" s="180"/>
      <c r="O59" s="216" t="s">
        <v>48</v>
      </c>
      <c r="P59" s="191">
        <f>SUM(S14:S29,S37:S50)</f>
        <v>0</v>
      </c>
      <c r="Q59" s="147"/>
      <c r="R59" s="272" t="s">
        <v>34</v>
      </c>
      <c r="S59" s="273"/>
      <c r="T59" s="273"/>
      <c r="U59" s="273"/>
      <c r="V59" s="273"/>
      <c r="W59" s="273"/>
      <c r="X59" s="273"/>
      <c r="Y59" s="273"/>
      <c r="Z59" s="273"/>
      <c r="AA59" s="194">
        <f>SUM(AA14:AA50)</f>
        <v>0</v>
      </c>
      <c r="AB59" s="35"/>
      <c r="AC59" s="156"/>
    </row>
    <row r="60" spans="10:24" ht="12.75">
      <c r="J60" s="171"/>
      <c r="K60" s="82"/>
      <c r="L60" s="120"/>
      <c r="M60" s="45"/>
      <c r="N60" s="179"/>
      <c r="O60" s="5"/>
      <c r="P60" s="5"/>
      <c r="Q60" s="85"/>
      <c r="R60" s="86"/>
      <c r="S60" s="157"/>
      <c r="T60" s="214"/>
      <c r="U60" s="214"/>
      <c r="V60" s="214"/>
      <c r="W60" s="214"/>
      <c r="X60" s="158"/>
    </row>
    <row r="61" spans="10:24" ht="9.75" customHeight="1">
      <c r="J61" s="171"/>
      <c r="K61" s="82"/>
      <c r="L61" s="120"/>
      <c r="M61" s="45"/>
      <c r="N61" s="179"/>
      <c r="O61" s="5"/>
      <c r="P61" s="5"/>
      <c r="Q61" s="85"/>
      <c r="R61" s="86"/>
      <c r="S61" s="157"/>
      <c r="T61" s="214"/>
      <c r="U61" s="214"/>
      <c r="V61" s="214"/>
      <c r="W61" s="214"/>
      <c r="X61" s="158"/>
    </row>
    <row r="62" spans="2:16" ht="14.25" customHeight="1">
      <c r="B62" s="96" t="s">
        <v>45</v>
      </c>
      <c r="C62" s="94"/>
      <c r="D62" s="94"/>
      <c r="J62" s="171"/>
      <c r="L62" s="138"/>
      <c r="M62" s="45"/>
      <c r="N62" s="4"/>
      <c r="O62" s="21"/>
      <c r="P62" s="21"/>
    </row>
    <row r="63" spans="10:16" ht="6.75" customHeight="1">
      <c r="J63" s="171"/>
      <c r="L63" s="138"/>
      <c r="M63" s="45"/>
      <c r="N63" s="4"/>
      <c r="O63" s="21"/>
      <c r="P63" s="21"/>
    </row>
    <row r="64" spans="8:16" ht="24" customHeight="1" thickBot="1">
      <c r="H64" s="61" t="s">
        <v>3</v>
      </c>
      <c r="I64" s="61" t="s">
        <v>43</v>
      </c>
      <c r="J64" s="171"/>
      <c r="K64" s="61" t="s">
        <v>1</v>
      </c>
      <c r="L64" s="159" t="s">
        <v>8</v>
      </c>
      <c r="M64" s="45"/>
      <c r="N64" s="4"/>
      <c r="O64" s="24"/>
      <c r="P64" s="24"/>
    </row>
    <row r="65" spans="1:30" ht="24" customHeight="1">
      <c r="A65" s="300" t="s">
        <v>18</v>
      </c>
      <c r="B65" s="277"/>
      <c r="C65" s="278"/>
      <c r="D65" s="278"/>
      <c r="E65" s="279"/>
      <c r="F65" s="119"/>
      <c r="G65" s="238"/>
      <c r="H65" s="239"/>
      <c r="I65" s="240"/>
      <c r="J65" s="183" t="b">
        <v>0</v>
      </c>
      <c r="K65" s="234"/>
      <c r="L65" s="234"/>
      <c r="M65" s="45"/>
      <c r="N65" s="46" t="b">
        <v>0</v>
      </c>
      <c r="O65" s="184">
        <f>IF(AND(OR(J65=TRUE,N65=TRUE),L65=1),IF(K65="",0,K65),0)</f>
        <v>0</v>
      </c>
      <c r="P65" s="185">
        <f>IF(AND(OR(J65=TRUE,N65=TRUE),L65=2),IF(K65="",0,K65),0)</f>
        <v>0</v>
      </c>
      <c r="Q65" s="190">
        <f>IF(U65,"SCEGLIERE!",IF(OR(X65,W65,V65),"ANNO ?",""))</f>
      </c>
      <c r="R65" s="152">
        <f>IF(T65,"CFU ?","")</f>
      </c>
      <c r="S65" s="56"/>
      <c r="T65" s="202" t="b">
        <f>IF(AND(J65,OR(K65&lt;1,K65&gt;12)),TRUE,FALSE)</f>
        <v>0</v>
      </c>
      <c r="U65" s="202" t="b">
        <f>IF(AND(N65,J65=FALSE),TRUE,FALSE)</f>
        <v>0</v>
      </c>
      <c r="V65" s="202" t="b">
        <f>IF(AND(J65,N65=FALSE,L65&lt;$L$6),TRUE,FALSE)</f>
        <v>0</v>
      </c>
      <c r="W65" s="202" t="b">
        <f>IF(AND(N65,L65&gt;$L$6-$S$6+1),TRUE,FALSE)</f>
        <v>0</v>
      </c>
      <c r="X65" s="202" t="b">
        <f>IF(OR(AND(J65=FALSE,N65=FALSE),AND(L65&lt;3,L65&gt;0)),FALSE,TRUE)</f>
        <v>0</v>
      </c>
      <c r="Y65" s="56"/>
      <c r="Z65" s="203" t="b">
        <f>AND(N65,X65=FALSE,L65&lt;$L$6,L65&lt;M65)</f>
        <v>0</v>
      </c>
      <c r="AA65" s="194">
        <f>IF(Z65,1,"")</f>
      </c>
      <c r="AB65" s="203"/>
      <c r="AC65" s="156"/>
      <c r="AD65" s="109">
        <f>IF(AND(N65,X65=FALSE,L65=$L$6,$S$6=1),K65,"")</f>
      </c>
    </row>
    <row r="66" spans="1:30" ht="24" customHeight="1">
      <c r="A66" s="301"/>
      <c r="B66" s="277"/>
      <c r="C66" s="278"/>
      <c r="D66" s="278"/>
      <c r="E66" s="279"/>
      <c r="F66" s="119"/>
      <c r="G66" s="238"/>
      <c r="H66" s="239"/>
      <c r="I66" s="240"/>
      <c r="J66" s="183" t="b">
        <v>0</v>
      </c>
      <c r="K66" s="234"/>
      <c r="L66" s="234"/>
      <c r="M66" s="45"/>
      <c r="N66" s="46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0">
        <f>IF(U66,"SCEGLIERE!",IF(OR(X66,W66,V66),"ANNO ?",""))</f>
      </c>
      <c r="R66" s="152">
        <f>IF(T66,"CFU ?","")</f>
      </c>
      <c r="S66" s="56"/>
      <c r="T66" s="202" t="b">
        <f>IF(AND(J66,OR(K66&lt;1,K66&gt;12)),TRUE,FALSE)</f>
        <v>0</v>
      </c>
      <c r="U66" s="202" t="b">
        <f>IF(AND(N66,J66=FALSE),TRUE,FALSE)</f>
        <v>0</v>
      </c>
      <c r="V66" s="202" t="b">
        <f>IF(AND(J66,N66=FALSE,L66&lt;$L$6),TRUE,FALSE)</f>
        <v>0</v>
      </c>
      <c r="W66" s="202" t="b">
        <f>IF(AND(N66,L66&gt;$L$6-$S$6+1),TRUE,FALSE)</f>
        <v>0</v>
      </c>
      <c r="X66" s="202" t="b">
        <f>IF(OR(AND(J66=FALSE,N66=FALSE),AND(L66&lt;3,L66&gt;0)),FALSE,TRUE)</f>
        <v>0</v>
      </c>
      <c r="Y66" s="56"/>
      <c r="Z66" s="203" t="b">
        <f>AND(N66,X66=FALSE,L66&lt;$L$6,L66&lt;M66)</f>
        <v>0</v>
      </c>
      <c r="AA66" s="194">
        <f>IF(Z66,1,"")</f>
      </c>
      <c r="AB66" s="203"/>
      <c r="AC66" s="156"/>
      <c r="AD66" s="109">
        <f>IF(AND(N66,X66=FALSE,L66=$L$6,$S$6=1),K66,"")</f>
      </c>
    </row>
    <row r="67" spans="1:30" ht="24" customHeight="1">
      <c r="A67" s="301"/>
      <c r="B67" s="277"/>
      <c r="C67" s="278"/>
      <c r="D67" s="278"/>
      <c r="E67" s="279"/>
      <c r="F67" s="119"/>
      <c r="G67" s="238"/>
      <c r="H67" s="239"/>
      <c r="I67" s="240"/>
      <c r="J67" s="183" t="b">
        <v>0</v>
      </c>
      <c r="K67" s="234"/>
      <c r="L67" s="234"/>
      <c r="M67" s="45"/>
      <c r="N67" s="46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0">
        <f>IF(U67,"SCEGLIERE!",IF(OR(X67,W67,V67),"ANNO ?",""))</f>
      </c>
      <c r="R67" s="152">
        <f>IF(T67,"CFU ?","")</f>
      </c>
      <c r="S67" s="56"/>
      <c r="T67" s="202" t="b">
        <f>IF(AND(J67,OR(K67&lt;1,K67&gt;12)),TRUE,FALSE)</f>
        <v>0</v>
      </c>
      <c r="U67" s="202" t="b">
        <f>IF(AND(N67,J67=FALSE),TRUE,FALSE)</f>
        <v>0</v>
      </c>
      <c r="V67" s="202" t="b">
        <f>IF(AND(J67,N67=FALSE,L67&lt;$L$6),TRUE,FALSE)</f>
        <v>0</v>
      </c>
      <c r="W67" s="202" t="b">
        <f>IF(AND(N67,L67&gt;$L$6-$S$6+1),TRUE,FALSE)</f>
        <v>0</v>
      </c>
      <c r="X67" s="202" t="b">
        <f>IF(OR(AND(J67=FALSE,N67=FALSE),AND(L67&lt;3,L67&gt;0)),FALSE,TRUE)</f>
        <v>0</v>
      </c>
      <c r="Y67" s="56"/>
      <c r="Z67" s="203" t="b">
        <f>AND(N67,X67=FALSE,L67&lt;$L$6,L67&lt;M67)</f>
        <v>0</v>
      </c>
      <c r="AA67" s="194">
        <f>IF(Z67,1,"")</f>
      </c>
      <c r="AB67" s="203"/>
      <c r="AC67" s="156"/>
      <c r="AD67" s="109">
        <f>IF(AND(N67,X67=FALSE,L67=$L$6,$S$6=1),K67,"")</f>
      </c>
    </row>
    <row r="68" spans="1:30" ht="24" customHeight="1">
      <c r="A68" s="301"/>
      <c r="B68" s="277"/>
      <c r="C68" s="278"/>
      <c r="D68" s="278"/>
      <c r="E68" s="279"/>
      <c r="F68" s="119"/>
      <c r="G68" s="238"/>
      <c r="H68" s="239"/>
      <c r="I68" s="240"/>
      <c r="J68" s="183" t="b">
        <v>0</v>
      </c>
      <c r="K68" s="234"/>
      <c r="L68" s="234"/>
      <c r="M68" s="45"/>
      <c r="N68" s="46" t="b">
        <v>0</v>
      </c>
      <c r="O68" s="20">
        <f>IF(AND(OR(J68=TRUE,N68=TRUE),L68=1),IF(K68="",0,K68),0)</f>
        <v>0</v>
      </c>
      <c r="P68" s="22">
        <f>IF(AND(OR(J68=TRUE,N68=TRUE),L68=2),IF(K68="",0,K68),0)</f>
        <v>0</v>
      </c>
      <c r="Q68" s="190">
        <f>IF(U68,"SCEGLIERE!",IF(OR(X68,W68,V68),"ANNO ?",""))</f>
      </c>
      <c r="R68" s="152">
        <f>IF(T68,"CFU ?","")</f>
      </c>
      <c r="S68" s="56"/>
      <c r="T68" s="202" t="b">
        <f>IF(AND(J68,OR(K68&lt;1,K68&gt;12)),TRUE,FALSE)</f>
        <v>0</v>
      </c>
      <c r="U68" s="202" t="b">
        <f>IF(AND(N68,J68=FALSE),TRUE,FALSE)</f>
        <v>0</v>
      </c>
      <c r="V68" s="202" t="b">
        <f>IF(AND(J68,N68=FALSE,L68&lt;$L$6),TRUE,FALSE)</f>
        <v>0</v>
      </c>
      <c r="W68" s="202" t="b">
        <f>IF(AND(N68,L68&gt;$L$6-$S$6+1),TRUE,FALSE)</f>
        <v>0</v>
      </c>
      <c r="X68" s="202" t="b">
        <f>IF(OR(AND(J68=FALSE,N68=FALSE),AND(L68&lt;3,L68&gt;0)),FALSE,TRUE)</f>
        <v>0</v>
      </c>
      <c r="Y68" s="56"/>
      <c r="Z68" s="203" t="b">
        <f>AND(N68,X68=FALSE,L68&lt;$L$6,L68&lt;M68)</f>
        <v>0</v>
      </c>
      <c r="AA68" s="194">
        <f>IF(Z68,1,"")</f>
      </c>
      <c r="AB68" s="203"/>
      <c r="AC68" s="156"/>
      <c r="AD68" s="109">
        <f>IF(AND(N68,X68=FALSE,L68=$L$6,$S$6=1),K68,"")</f>
      </c>
    </row>
    <row r="69" spans="1:30" ht="24" customHeight="1" thickBot="1">
      <c r="A69" s="302"/>
      <c r="B69" s="277"/>
      <c r="C69" s="278"/>
      <c r="D69" s="278"/>
      <c r="E69" s="279"/>
      <c r="F69" s="119"/>
      <c r="G69" s="238"/>
      <c r="H69" s="239"/>
      <c r="I69" s="240"/>
      <c r="J69" s="183" t="b">
        <v>0</v>
      </c>
      <c r="K69" s="234"/>
      <c r="L69" s="234"/>
      <c r="M69" s="45"/>
      <c r="N69" s="46" t="b">
        <v>0</v>
      </c>
      <c r="O69" s="23">
        <f>IF(AND(OR(J69=TRUE,N69=TRUE),L69=1),IF(K69="",0,K69),0)</f>
        <v>0</v>
      </c>
      <c r="P69" s="25">
        <f>IF(AND(OR(J69=TRUE,N69=TRUE),L69=2),IF(K69="",0,K69),0)</f>
        <v>0</v>
      </c>
      <c r="Q69" s="190">
        <f>IF(U69,"SCEGLIERE!",IF(OR(X69,W69,V69),"ANNO ?",""))</f>
      </c>
      <c r="R69" s="152">
        <f>IF(T69,"CFU ?","")</f>
      </c>
      <c r="S69" s="56"/>
      <c r="T69" s="202" t="b">
        <f>IF(AND(J69,OR(K69&lt;1,K69&gt;12)),TRUE,FALSE)</f>
        <v>0</v>
      </c>
      <c r="U69" s="202" t="b">
        <f>IF(AND(N69,J69=FALSE),TRUE,FALSE)</f>
        <v>0</v>
      </c>
      <c r="V69" s="202" t="b">
        <f>IF(AND(J69,N69=FALSE,L69&lt;$L$6),TRUE,FALSE)</f>
        <v>0</v>
      </c>
      <c r="W69" s="202" t="b">
        <f>IF(AND(N69,L69&gt;$L$6-$S$6+1),TRUE,FALSE)</f>
        <v>0</v>
      </c>
      <c r="X69" s="202" t="b">
        <f>IF(OR(AND(J69=FALSE,N69=FALSE),AND(L69&lt;3,L69&gt;0)),FALSE,TRUE)</f>
        <v>0</v>
      </c>
      <c r="Y69" s="56"/>
      <c r="Z69" s="203" t="b">
        <f>AND(N69,X69=FALSE,L69&lt;$L$6,L69&lt;M69)</f>
        <v>0</v>
      </c>
      <c r="AA69" s="194">
        <f>IF(Z69,1,"")</f>
      </c>
      <c r="AB69" s="203"/>
      <c r="AC69" s="156"/>
      <c r="AD69" s="109">
        <f>IF(AND(N69,X69=FALSE,L69=$L$6,$S$6=1),K69,"")</f>
      </c>
    </row>
    <row r="70" spans="10:16" ht="12.75">
      <c r="J70" s="174"/>
      <c r="K70" s="109"/>
      <c r="L70" s="138"/>
      <c r="M70" s="45"/>
      <c r="N70" s="4"/>
      <c r="O70" s="21"/>
      <c r="P70" s="21"/>
    </row>
    <row r="71" spans="1:30" ht="15" customHeight="1">
      <c r="A71" s="137" t="s">
        <v>71</v>
      </c>
      <c r="H71" s="138"/>
      <c r="I71" s="250" t="s">
        <v>1</v>
      </c>
      <c r="J71" s="248"/>
      <c r="K71" s="249">
        <f>SUM(K65:K69)</f>
        <v>0</v>
      </c>
      <c r="L71" s="138"/>
      <c r="M71" s="257"/>
      <c r="N71" s="46"/>
      <c r="O71" s="16">
        <f>SUM(O65:O69)</f>
        <v>0</v>
      </c>
      <c r="P71" s="17">
        <f>SUM(P65:P69)</f>
        <v>0</v>
      </c>
      <c r="Q71" s="253">
        <f>IF(OR(T65:X69),"ANNI, SCEGLI o CFU ?","")</f>
      </c>
      <c r="R71" s="152"/>
      <c r="S71" s="149"/>
      <c r="T71" s="212"/>
      <c r="U71" s="212"/>
      <c r="V71" s="212"/>
      <c r="W71" s="212"/>
      <c r="X71" s="111"/>
      <c r="Y71" s="149"/>
      <c r="Z71" s="35"/>
      <c r="AA71" s="198"/>
      <c r="AB71" s="35"/>
      <c r="AC71" s="146"/>
      <c r="AD71" s="255">
        <f>SUM(AD65:AD70)</f>
        <v>0</v>
      </c>
    </row>
    <row r="72" spans="1:30" ht="15" customHeight="1" thickBot="1">
      <c r="A72" s="137"/>
      <c r="H72" s="138"/>
      <c r="I72" s="247"/>
      <c r="J72" s="246"/>
      <c r="K72" s="247"/>
      <c r="L72" s="138"/>
      <c r="M72" s="257"/>
      <c r="N72" s="46"/>
      <c r="O72" s="40"/>
      <c r="P72" s="40"/>
      <c r="Q72" s="253"/>
      <c r="R72" s="152"/>
      <c r="S72" s="149"/>
      <c r="T72" s="212"/>
      <c r="U72" s="212"/>
      <c r="V72" s="212"/>
      <c r="W72" s="212"/>
      <c r="X72" s="111"/>
      <c r="Y72" s="149"/>
      <c r="Z72" s="35"/>
      <c r="AA72" s="198"/>
      <c r="AB72" s="35"/>
      <c r="AC72" s="146"/>
      <c r="AD72" s="263"/>
    </row>
    <row r="73" spans="8:30" ht="18" customHeight="1" thickBot="1">
      <c r="H73" s="264" t="s">
        <v>38</v>
      </c>
      <c r="I73" s="265" t="s">
        <v>2</v>
      </c>
      <c r="J73" s="266"/>
      <c r="K73" s="57">
        <f>K71+K54</f>
        <v>108</v>
      </c>
      <c r="L73" s="138"/>
      <c r="M73" s="257"/>
      <c r="N73" s="4"/>
      <c r="O73" s="21"/>
      <c r="P73" s="21"/>
      <c r="Q73" s="190"/>
      <c r="R73" s="152"/>
      <c r="S73" s="149"/>
      <c r="T73" s="212"/>
      <c r="U73" s="212"/>
      <c r="V73" s="212"/>
      <c r="W73" s="212"/>
      <c r="X73" s="111"/>
      <c r="Y73" s="149"/>
      <c r="Z73" s="35"/>
      <c r="AA73" s="198"/>
      <c r="AB73" s="35"/>
      <c r="AC73" s="146"/>
      <c r="AD73" s="109"/>
    </row>
    <row r="74" spans="10:16" ht="6.75" customHeight="1">
      <c r="J74" s="174"/>
      <c r="K74" s="109"/>
      <c r="L74" s="138"/>
      <c r="M74" s="45"/>
      <c r="N74" s="46"/>
      <c r="O74" s="21"/>
      <c r="P74" s="21"/>
    </row>
    <row r="75" spans="2:16" ht="14.25" customHeight="1">
      <c r="B75" s="96" t="s">
        <v>4</v>
      </c>
      <c r="J75" s="171"/>
      <c r="M75" s="114"/>
      <c r="N75" s="3"/>
      <c r="O75" s="29"/>
      <c r="P75" s="29"/>
    </row>
    <row r="76" spans="10:16" ht="6" customHeight="1" thickBot="1">
      <c r="J76" s="171"/>
      <c r="M76" s="114"/>
      <c r="N76" s="3"/>
      <c r="O76" s="29"/>
      <c r="P76" s="29"/>
    </row>
    <row r="77" spans="1:23" ht="19.5" customHeight="1">
      <c r="A77" s="274" t="s">
        <v>36</v>
      </c>
      <c r="B77" s="280"/>
      <c r="C77" s="281"/>
      <c r="D77" s="281"/>
      <c r="E77" s="281"/>
      <c r="F77" s="281"/>
      <c r="G77" s="281"/>
      <c r="H77" s="281"/>
      <c r="I77" s="281"/>
      <c r="J77" s="281"/>
      <c r="K77" s="281"/>
      <c r="L77" s="282"/>
      <c r="M77" s="114"/>
      <c r="N77" s="3"/>
      <c r="O77" s="33" t="s">
        <v>25</v>
      </c>
      <c r="P77" s="29"/>
      <c r="S77" s="160" t="str">
        <f>IF(AND(L5="",R6=TRUE,Q58="OK",O55="SI",P55="SI",K55="SI",L52="SI",H48="",Q31="",Q52="",Q71="",AC31="",AC52=""),"PDS OK","CI SONO ERRORI")</f>
        <v>CI SONO ERRORI</v>
      </c>
      <c r="T77" s="215"/>
      <c r="U77" s="215"/>
      <c r="V77" s="215"/>
      <c r="W77" s="215"/>
    </row>
    <row r="78" spans="1:16" ht="19.5" customHeight="1">
      <c r="A78" s="275"/>
      <c r="B78" s="283"/>
      <c r="C78" s="284"/>
      <c r="D78" s="284"/>
      <c r="E78" s="284"/>
      <c r="F78" s="284"/>
      <c r="G78" s="284"/>
      <c r="H78" s="284"/>
      <c r="I78" s="284"/>
      <c r="J78" s="284"/>
      <c r="K78" s="284"/>
      <c r="L78" s="285"/>
      <c r="M78" s="114"/>
      <c r="N78" s="3"/>
      <c r="O78" s="29"/>
      <c r="P78" s="29"/>
    </row>
    <row r="79" spans="1:16" ht="19.5" customHeight="1">
      <c r="A79" s="275"/>
      <c r="B79" s="283"/>
      <c r="C79" s="284"/>
      <c r="D79" s="284"/>
      <c r="E79" s="284"/>
      <c r="F79" s="284"/>
      <c r="G79" s="284"/>
      <c r="H79" s="284"/>
      <c r="I79" s="284"/>
      <c r="J79" s="284"/>
      <c r="K79" s="284"/>
      <c r="L79" s="285"/>
      <c r="M79" s="114"/>
      <c r="N79" s="3"/>
      <c r="O79" s="29"/>
      <c r="P79" s="29"/>
    </row>
    <row r="80" spans="1:16" ht="19.5" customHeight="1">
      <c r="A80" s="275"/>
      <c r="B80" s="283"/>
      <c r="C80" s="284"/>
      <c r="D80" s="284"/>
      <c r="E80" s="284"/>
      <c r="F80" s="284"/>
      <c r="G80" s="284"/>
      <c r="H80" s="284"/>
      <c r="I80" s="284"/>
      <c r="J80" s="284"/>
      <c r="K80" s="284"/>
      <c r="L80" s="285"/>
      <c r="M80" s="114"/>
      <c r="N80" s="3"/>
      <c r="O80" s="29"/>
      <c r="P80" s="29"/>
    </row>
    <row r="81" spans="1:16" ht="19.5" customHeight="1">
      <c r="A81" s="275"/>
      <c r="B81" s="283"/>
      <c r="C81" s="284"/>
      <c r="D81" s="284"/>
      <c r="E81" s="284"/>
      <c r="F81" s="284"/>
      <c r="G81" s="284"/>
      <c r="H81" s="284"/>
      <c r="I81" s="284"/>
      <c r="J81" s="284"/>
      <c r="K81" s="284"/>
      <c r="L81" s="285"/>
      <c r="M81" s="114"/>
      <c r="N81" s="3"/>
      <c r="O81" s="29"/>
      <c r="P81" s="29"/>
    </row>
    <row r="82" spans="1:16" ht="19.5" customHeight="1" thickBot="1">
      <c r="A82" s="276"/>
      <c r="B82" s="286"/>
      <c r="C82" s="287"/>
      <c r="D82" s="287"/>
      <c r="E82" s="287"/>
      <c r="F82" s="287"/>
      <c r="G82" s="287"/>
      <c r="H82" s="287"/>
      <c r="I82" s="287"/>
      <c r="J82" s="287"/>
      <c r="K82" s="287"/>
      <c r="L82" s="288"/>
      <c r="M82" s="114"/>
      <c r="N82" s="3"/>
      <c r="O82" s="29"/>
      <c r="P82" s="29"/>
    </row>
    <row r="83" spans="2:16" ht="12.75">
      <c r="B83" s="62"/>
      <c r="C83" s="62"/>
      <c r="D83" s="62"/>
      <c r="E83" s="62"/>
      <c r="F83" s="62"/>
      <c r="G83" s="62"/>
      <c r="H83" s="62"/>
      <c r="I83" s="62"/>
      <c r="J83" s="175"/>
      <c r="K83" s="82"/>
      <c r="L83" s="62"/>
      <c r="M83" s="114"/>
      <c r="N83" s="3"/>
      <c r="O83" s="29"/>
      <c r="P83" s="29"/>
    </row>
    <row r="84" spans="2:16" ht="15.75" customHeight="1">
      <c r="B84" s="161" t="s">
        <v>40</v>
      </c>
      <c r="C84" s="62"/>
      <c r="D84" s="62"/>
      <c r="E84" s="62"/>
      <c r="F84" s="62"/>
      <c r="G84" s="62"/>
      <c r="H84" s="62"/>
      <c r="I84" s="62"/>
      <c r="J84" s="175"/>
      <c r="K84" s="82"/>
      <c r="L84" s="62"/>
      <c r="M84" s="114"/>
      <c r="N84" s="3"/>
      <c r="O84" s="29"/>
      <c r="P84" s="30" t="s">
        <v>13</v>
      </c>
    </row>
    <row r="85" spans="2:14" ht="12.75">
      <c r="B85" s="62"/>
      <c r="C85" s="62"/>
      <c r="D85" s="62"/>
      <c r="E85" s="62"/>
      <c r="F85" s="62"/>
      <c r="G85" s="62"/>
      <c r="H85" s="62"/>
      <c r="I85" s="62"/>
      <c r="J85" s="175"/>
      <c r="K85" s="82"/>
      <c r="L85" s="62"/>
      <c r="M85" s="114"/>
      <c r="N85" s="3"/>
    </row>
    <row r="86" spans="10:16" ht="19.5" customHeight="1">
      <c r="J86" s="171"/>
      <c r="M86" s="114"/>
      <c r="N86" s="3"/>
      <c r="O86" s="29"/>
      <c r="P86" s="29"/>
    </row>
    <row r="87" spans="2:14" ht="17.25">
      <c r="B87" s="162" t="s">
        <v>41</v>
      </c>
      <c r="H87" s="162" t="s">
        <v>42</v>
      </c>
      <c r="J87" s="171"/>
      <c r="M87" s="114"/>
      <c r="N87" s="3"/>
    </row>
    <row r="88" spans="10:14" ht="12.75">
      <c r="J88" s="171"/>
      <c r="M88" s="114"/>
      <c r="N88" s="3"/>
    </row>
    <row r="89" spans="10:14" ht="12.75">
      <c r="J89" s="171"/>
      <c r="M89" s="114"/>
      <c r="N89" s="3"/>
    </row>
    <row r="90" spans="10:14" ht="12.75">
      <c r="J90" s="171"/>
      <c r="M90" s="114"/>
      <c r="N90" s="3"/>
    </row>
    <row r="91" ht="12.75">
      <c r="M91" s="114"/>
    </row>
    <row r="92" ht="12.75">
      <c r="M92" s="114"/>
    </row>
    <row r="93" ht="12.75">
      <c r="M93" s="114"/>
    </row>
    <row r="94" ht="12.75">
      <c r="M94" s="114"/>
    </row>
    <row r="95" ht="12.75">
      <c r="M95" s="114"/>
    </row>
    <row r="96" ht="12.75">
      <c r="M96" s="114"/>
    </row>
    <row r="97" ht="12.75">
      <c r="M97" s="114"/>
    </row>
    <row r="98" ht="12.75">
      <c r="M98" s="114"/>
    </row>
    <row r="99" ht="12.75">
      <c r="M99" s="114"/>
    </row>
    <row r="100" ht="12.75">
      <c r="M100" s="114"/>
    </row>
    <row r="101" ht="12.75">
      <c r="M101" s="114"/>
    </row>
    <row r="102" ht="12.75">
      <c r="M102" s="114"/>
    </row>
    <row r="103" ht="12.75">
      <c r="M103" s="114"/>
    </row>
    <row r="104" ht="12.75">
      <c r="M104" s="114"/>
    </row>
    <row r="105" ht="12.75">
      <c r="M105" s="114"/>
    </row>
    <row r="106" ht="12.75">
      <c r="M106" s="114"/>
    </row>
    <row r="107" ht="12.75">
      <c r="M107" s="114"/>
    </row>
    <row r="108" ht="12.75">
      <c r="M108" s="114"/>
    </row>
    <row r="109" ht="12.75">
      <c r="M109" s="114"/>
    </row>
    <row r="110" ht="12.75">
      <c r="M110" s="114"/>
    </row>
    <row r="111" ht="12.75">
      <c r="M111" s="114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</sheetData>
  <sheetProtection/>
  <mergeCells count="28">
    <mergeCell ref="G2:H2"/>
    <mergeCell ref="X6:AC6"/>
    <mergeCell ref="C3:E3"/>
    <mergeCell ref="D4:E4"/>
    <mergeCell ref="I2:M2"/>
    <mergeCell ref="I3:K3"/>
    <mergeCell ref="AC53:AC54"/>
    <mergeCell ref="Q8:X8"/>
    <mergeCell ref="Q54:AA55"/>
    <mergeCell ref="C7:H7"/>
    <mergeCell ref="N7:O7"/>
    <mergeCell ref="L9:N9"/>
    <mergeCell ref="B49:E49"/>
    <mergeCell ref="A2:A7"/>
    <mergeCell ref="A14:A29"/>
    <mergeCell ref="A37:A50"/>
    <mergeCell ref="A65:A69"/>
    <mergeCell ref="B50:E50"/>
    <mergeCell ref="E6:F6"/>
    <mergeCell ref="C2:E2"/>
    <mergeCell ref="B67:E67"/>
    <mergeCell ref="B68:E68"/>
    <mergeCell ref="R59:Z59"/>
    <mergeCell ref="A77:A82"/>
    <mergeCell ref="B69:E69"/>
    <mergeCell ref="B77:L82"/>
    <mergeCell ref="B65:E65"/>
    <mergeCell ref="B66:E66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60" max="26" man="1"/>
  </rowBreaks>
  <ignoredErrors>
    <ignoredError sqref="P6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2014-12-10T23:24:26Z</cp:lastPrinted>
  <dcterms:created xsi:type="dcterms:W3CDTF">2007-02-08T10:44:31Z</dcterms:created>
  <dcterms:modified xsi:type="dcterms:W3CDTF">2024-02-27T08:02:39Z</dcterms:modified>
  <cp:category/>
  <cp:version/>
  <cp:contentType/>
  <cp:contentStatus/>
</cp:coreProperties>
</file>